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DPP 1st 2024\"/>
    </mc:Choice>
  </mc:AlternateContent>
  <bookViews>
    <workbookView xWindow="0" yWindow="0" windowWidth="21600" windowHeight="9600" firstSheet="5" activeTab="15"/>
  </bookViews>
  <sheets>
    <sheet name="RHU" sheetId="48" r:id="rId1"/>
    <sheet name="Engrg" sheetId="47" r:id="rId2"/>
    <sheet name="Acctg" sheetId="46" r:id="rId3"/>
    <sheet name="MCR" sheetId="45" r:id="rId4"/>
    <sheet name="MSWDO" sheetId="44" r:id="rId5"/>
    <sheet name="MTO" sheetId="43" r:id="rId6"/>
    <sheet name="MPDC" sheetId="42" r:id="rId7"/>
    <sheet name="SB" sheetId="41" r:id="rId8"/>
    <sheet name="MBO" sheetId="40" r:id="rId9"/>
    <sheet name="Mayor" sheetId="39" r:id="rId10"/>
    <sheet name="SB Sec" sheetId="38" r:id="rId11"/>
    <sheet name="VM" sheetId="37" r:id="rId12"/>
    <sheet name="Assesor" sheetId="14" r:id="rId13"/>
    <sheet name="DA" sheetId="9" r:id="rId14"/>
    <sheet name="MGSO" sheetId="8" r:id="rId15"/>
    <sheet name="DRRM" sheetId="10" r:id="rId16"/>
  </sheets>
  <definedNames>
    <definedName name="_A75000" localSheetId="4">MSWDO!$A$26826</definedName>
    <definedName name="_A75000">DA!$A$26892</definedName>
    <definedName name="_F100000" localSheetId="2">DA!#REF!</definedName>
    <definedName name="_F100000" localSheetId="12">DA!#REF!</definedName>
    <definedName name="_F100000" localSheetId="1">DA!#REF!</definedName>
    <definedName name="_F100000" localSheetId="9">DA!#REF!</definedName>
    <definedName name="_F100000" localSheetId="8">DA!#REF!</definedName>
    <definedName name="_F100000" localSheetId="3">DA!#REF!</definedName>
    <definedName name="_F100000" localSheetId="6">DA!#REF!</definedName>
    <definedName name="_F100000" localSheetId="4">MSWDO!#REF!</definedName>
    <definedName name="_F100000" localSheetId="5">DA!#REF!</definedName>
    <definedName name="_F100000" localSheetId="0">DA!#REF!</definedName>
    <definedName name="_F100000" localSheetId="7">DA!#REF!</definedName>
    <definedName name="_F100000" localSheetId="10">DA!#REF!</definedName>
    <definedName name="_F100000" localSheetId="11">DA!#REF!</definedName>
    <definedName name="_F100000">DA!#REF!</definedName>
    <definedName name="SB" localSheetId="2">DA!#REF!</definedName>
    <definedName name="SB" localSheetId="1">DA!#REF!</definedName>
    <definedName name="SB" localSheetId="9">DA!#REF!</definedName>
    <definedName name="SB" localSheetId="8">DA!#REF!</definedName>
    <definedName name="SB" localSheetId="3">DA!#REF!</definedName>
    <definedName name="SB" localSheetId="6">DA!#REF!</definedName>
    <definedName name="SB" localSheetId="4">MSWDO!#REF!</definedName>
    <definedName name="SB" localSheetId="5">DA!#REF!</definedName>
    <definedName name="SB" localSheetId="0">DA!#REF!</definedName>
    <definedName name="SB" localSheetId="7">DA!#REF!</definedName>
    <definedName name="SB" localSheetId="10">DA!#REF!</definedName>
    <definedName name="SB" localSheetId="11">DA!#REF!</definedName>
    <definedName name="SB">DA!#REF!</definedName>
    <definedName name="VM" localSheetId="2">DA!#REF!</definedName>
    <definedName name="VM" localSheetId="1">DA!#REF!</definedName>
    <definedName name="VM" localSheetId="9">DA!#REF!</definedName>
    <definedName name="VM" localSheetId="8">DA!#REF!</definedName>
    <definedName name="VM" localSheetId="3">DA!#REF!</definedName>
    <definedName name="VM" localSheetId="6">DA!#REF!</definedName>
    <definedName name="VM" localSheetId="4">MSWDO!#REF!</definedName>
    <definedName name="VM" localSheetId="5">DA!#REF!</definedName>
    <definedName name="VM" localSheetId="0">DA!#REF!</definedName>
    <definedName name="VM" localSheetId="7">DA!#REF!</definedName>
    <definedName name="VM" localSheetId="10">DA!#REF!</definedName>
    <definedName name="VM">DA!#REF!</definedName>
  </definedNames>
  <calcPr calcId="152511"/>
</workbook>
</file>

<file path=xl/calcChain.xml><?xml version="1.0" encoding="utf-8"?>
<calcChain xmlns="http://schemas.openxmlformats.org/spreadsheetml/2006/main">
  <c r="C59" i="47" l="1"/>
  <c r="G31" i="9"/>
  <c r="G17" i="9"/>
  <c r="G37" i="9"/>
  <c r="G62" i="9"/>
  <c r="G28" i="10"/>
  <c r="G34" i="10"/>
  <c r="G16" i="10"/>
  <c r="G30" i="47"/>
  <c r="G16" i="47"/>
  <c r="G36" i="47"/>
  <c r="I43" i="42"/>
  <c r="I39" i="42"/>
  <c r="G48" i="9"/>
  <c r="G54" i="9"/>
  <c r="C28" i="9"/>
  <c r="C37" i="9"/>
  <c r="C24" i="40"/>
  <c r="C25" i="40"/>
  <c r="C38" i="40"/>
  <c r="C61" i="40"/>
  <c r="I30" i="43"/>
  <c r="I36" i="43"/>
  <c r="I64" i="43"/>
  <c r="I51" i="38"/>
  <c r="I57" i="38"/>
  <c r="I66" i="38"/>
  <c r="I56" i="38"/>
  <c r="G66" i="47"/>
  <c r="G56" i="47"/>
  <c r="F49" i="47"/>
  <c r="F47" i="47"/>
  <c r="F41" i="47"/>
  <c r="E41" i="47"/>
  <c r="F31" i="47"/>
  <c r="E31" i="47"/>
  <c r="F29" i="47"/>
  <c r="F27" i="47"/>
  <c r="F26" i="47"/>
  <c r="E26" i="47"/>
  <c r="F25" i="47"/>
  <c r="E25" i="47"/>
  <c r="F24" i="47"/>
  <c r="F23" i="47"/>
  <c r="E23" i="47"/>
  <c r="F22" i="47"/>
  <c r="E22" i="47"/>
  <c r="F20" i="47"/>
  <c r="E20" i="47"/>
  <c r="F17" i="47"/>
  <c r="E17" i="47"/>
  <c r="F16" i="47"/>
  <c r="E44" i="9"/>
  <c r="E42" i="9"/>
  <c r="E19" i="44"/>
  <c r="E18" i="44"/>
  <c r="F57" i="48"/>
  <c r="E57" i="48"/>
  <c r="F45" i="48"/>
  <c r="F47" i="48"/>
  <c r="F46" i="48"/>
  <c r="F42" i="48"/>
  <c r="F59" i="48"/>
  <c r="F41" i="48"/>
  <c r="F34" i="48"/>
  <c r="F32" i="48"/>
  <c r="E32" i="48"/>
  <c r="F29" i="48"/>
  <c r="E29" i="48"/>
  <c r="F30" i="48"/>
  <c r="F28" i="48"/>
  <c r="E28" i="48"/>
  <c r="F27" i="48"/>
  <c r="F26" i="48"/>
  <c r="F25" i="48"/>
  <c r="F21" i="48"/>
  <c r="E21" i="48"/>
  <c r="F18" i="48"/>
  <c r="F17" i="48"/>
  <c r="H43" i="14"/>
  <c r="H43" i="43"/>
  <c r="G43" i="43"/>
  <c r="H31" i="43"/>
  <c r="G31" i="43"/>
  <c r="H29" i="43"/>
  <c r="G29" i="43"/>
  <c r="H27" i="43"/>
  <c r="G27" i="43"/>
  <c r="H26" i="43"/>
  <c r="G26" i="43"/>
  <c r="H25" i="43"/>
  <c r="G25" i="43"/>
  <c r="H24" i="43"/>
  <c r="G24" i="43"/>
  <c r="H23" i="43"/>
  <c r="G23" i="43"/>
  <c r="H22" i="43"/>
  <c r="G22" i="43"/>
  <c r="H19" i="43"/>
  <c r="G19" i="43"/>
  <c r="H18" i="43"/>
  <c r="H17" i="43"/>
  <c r="G17" i="43"/>
  <c r="H16" i="43"/>
  <c r="G16" i="43"/>
  <c r="F32" i="46"/>
  <c r="F30" i="46"/>
  <c r="E30" i="46"/>
  <c r="F28" i="46"/>
  <c r="E28" i="46"/>
  <c r="F27" i="46"/>
  <c r="E27" i="46"/>
  <c r="F26" i="46"/>
  <c r="E26" i="46"/>
  <c r="F25" i="46"/>
  <c r="F24" i="46"/>
  <c r="E24" i="46"/>
  <c r="F23" i="46"/>
  <c r="E23" i="46"/>
  <c r="F20" i="46"/>
  <c r="E20" i="46"/>
  <c r="F17" i="46"/>
  <c r="E17" i="46"/>
  <c r="F16" i="46"/>
  <c r="E16" i="46"/>
  <c r="F44" i="40"/>
  <c r="F24" i="45"/>
  <c r="F20" i="45"/>
  <c r="F17" i="45"/>
  <c r="F36" i="45"/>
  <c r="F60" i="45"/>
  <c r="E22" i="39"/>
  <c r="G45" i="42"/>
  <c r="H24" i="42"/>
  <c r="H42" i="42"/>
  <c r="G42" i="42"/>
  <c r="H51" i="42"/>
  <c r="H43" i="42"/>
  <c r="H53" i="42"/>
  <c r="H61" i="42"/>
  <c r="H41" i="42"/>
  <c r="H32" i="42"/>
  <c r="G32" i="42"/>
  <c r="H30" i="42"/>
  <c r="H28" i="42"/>
  <c r="H27" i="42"/>
  <c r="H26" i="42"/>
  <c r="H25" i="42"/>
  <c r="H23" i="42"/>
  <c r="G23" i="42"/>
  <c r="H20" i="42"/>
  <c r="H17" i="42"/>
  <c r="G17" i="42"/>
  <c r="H16" i="42"/>
  <c r="H54" i="41"/>
  <c r="H31" i="41"/>
  <c r="G31" i="41"/>
  <c r="H29" i="41"/>
  <c r="H27" i="41"/>
  <c r="G27" i="41"/>
  <c r="H26" i="41"/>
  <c r="H25" i="41"/>
  <c r="G25" i="41"/>
  <c r="H24" i="41"/>
  <c r="H23" i="41"/>
  <c r="G23" i="41"/>
  <c r="H22" i="41"/>
  <c r="H20" i="41"/>
  <c r="H17" i="41"/>
  <c r="H16" i="41"/>
  <c r="H36" i="41"/>
  <c r="H31" i="39"/>
  <c r="G31" i="39"/>
  <c r="H29" i="39"/>
  <c r="G29" i="39"/>
  <c r="H27" i="39"/>
  <c r="G27" i="39"/>
  <c r="H26" i="39"/>
  <c r="H25" i="39"/>
  <c r="G25" i="39"/>
  <c r="H24" i="39"/>
  <c r="G24" i="39"/>
  <c r="H23" i="39"/>
  <c r="G23" i="39"/>
  <c r="H22" i="39"/>
  <c r="H20" i="39"/>
  <c r="G20" i="39"/>
  <c r="H18" i="39"/>
  <c r="G18" i="39"/>
  <c r="H17" i="39"/>
  <c r="G17" i="39"/>
  <c r="H37" i="14"/>
  <c r="H58" i="14"/>
  <c r="E45" i="8"/>
  <c r="G43" i="41"/>
  <c r="G61" i="41"/>
  <c r="G66" i="39"/>
  <c r="G117" i="39"/>
  <c r="E125" i="39"/>
  <c r="I65" i="37"/>
  <c r="H65" i="37"/>
  <c r="G65" i="37"/>
  <c r="F65" i="37"/>
  <c r="F66" i="37"/>
  <c r="E65" i="37"/>
  <c r="I57" i="37"/>
  <c r="H57" i="37"/>
  <c r="G57" i="37"/>
  <c r="G66" i="37"/>
  <c r="F57" i="37"/>
  <c r="E57" i="37"/>
  <c r="I37" i="37"/>
  <c r="H37" i="37"/>
  <c r="G37" i="37"/>
  <c r="F37" i="37"/>
  <c r="E37" i="37"/>
  <c r="G57" i="38"/>
  <c r="I65" i="38"/>
  <c r="H65" i="38"/>
  <c r="G65" i="38"/>
  <c r="G66" i="38"/>
  <c r="F65" i="38"/>
  <c r="E65" i="38"/>
  <c r="H57" i="38"/>
  <c r="F57" i="38"/>
  <c r="E57" i="38"/>
  <c r="I36" i="38"/>
  <c r="H36" i="38"/>
  <c r="F36" i="38"/>
  <c r="E36" i="38"/>
  <c r="G36" i="38"/>
  <c r="G65" i="48"/>
  <c r="F65" i="48"/>
  <c r="D65" i="48"/>
  <c r="C65" i="48"/>
  <c r="C66" i="48"/>
  <c r="E64" i="48"/>
  <c r="E63" i="48"/>
  <c r="E61" i="48"/>
  <c r="C59" i="48"/>
  <c r="E58" i="48"/>
  <c r="E56" i="48"/>
  <c r="E54" i="48"/>
  <c r="E53" i="48"/>
  <c r="E52" i="48"/>
  <c r="D59" i="48"/>
  <c r="E50" i="48"/>
  <c r="E48" i="48"/>
  <c r="G59" i="48"/>
  <c r="E47" i="48"/>
  <c r="E46" i="48"/>
  <c r="E45" i="48"/>
  <c r="E43" i="48"/>
  <c r="E41" i="48"/>
  <c r="G39" i="48"/>
  <c r="D39" i="48"/>
  <c r="D66" i="48"/>
  <c r="C39" i="48"/>
  <c r="E38" i="48"/>
  <c r="E37" i="48"/>
  <c r="E36" i="48"/>
  <c r="E35" i="48"/>
  <c r="E34" i="48"/>
  <c r="E33" i="48"/>
  <c r="E30" i="48"/>
  <c r="E27" i="48"/>
  <c r="E26" i="48"/>
  <c r="E25" i="48"/>
  <c r="E24" i="48"/>
  <c r="E23" i="48"/>
  <c r="E22" i="48"/>
  <c r="E20" i="48"/>
  <c r="E19" i="48"/>
  <c r="E18" i="48"/>
  <c r="F66" i="47"/>
  <c r="D66" i="47"/>
  <c r="C66" i="47"/>
  <c r="E65" i="47"/>
  <c r="E64" i="47"/>
  <c r="E62" i="47"/>
  <c r="E60" i="47"/>
  <c r="E59" i="47"/>
  <c r="E58" i="47"/>
  <c r="D56" i="47"/>
  <c r="D67" i="47"/>
  <c r="C56" i="47"/>
  <c r="E55" i="47"/>
  <c r="E54" i="47"/>
  <c r="E53" i="47"/>
  <c r="E51" i="47"/>
  <c r="E50" i="47"/>
  <c r="E49" i="47"/>
  <c r="E47" i="47"/>
  <c r="E46" i="47"/>
  <c r="E45" i="47"/>
  <c r="E44" i="47"/>
  <c r="E43" i="47"/>
  <c r="E42" i="47"/>
  <c r="E40" i="47"/>
  <c r="E39" i="47"/>
  <c r="E38" i="47"/>
  <c r="D36" i="47"/>
  <c r="C36" i="47"/>
  <c r="E35" i="47"/>
  <c r="E34" i="47"/>
  <c r="E33" i="47"/>
  <c r="E32" i="47"/>
  <c r="E30" i="47"/>
  <c r="E29" i="47"/>
  <c r="E27" i="47"/>
  <c r="E24" i="47"/>
  <c r="E21" i="47"/>
  <c r="E19" i="47"/>
  <c r="E18" i="47"/>
  <c r="E16" i="47"/>
  <c r="G61" i="46"/>
  <c r="F61" i="46"/>
  <c r="D61" i="46"/>
  <c r="C61" i="46"/>
  <c r="E60" i="46"/>
  <c r="E58" i="46"/>
  <c r="E56" i="46"/>
  <c r="F54" i="46"/>
  <c r="D54" i="46"/>
  <c r="C54" i="46"/>
  <c r="C62" i="46"/>
  <c r="G54" i="46"/>
  <c r="E53" i="46"/>
  <c r="E52" i="46"/>
  <c r="E50" i="46"/>
  <c r="E49" i="46"/>
  <c r="E48" i="46"/>
  <c r="E46" i="46"/>
  <c r="E45" i="46"/>
  <c r="E44" i="46"/>
  <c r="E43" i="46"/>
  <c r="E42" i="46"/>
  <c r="E41" i="46"/>
  <c r="E40" i="46"/>
  <c r="E39" i="46"/>
  <c r="G37" i="46"/>
  <c r="D37" i="46"/>
  <c r="C37" i="46"/>
  <c r="E36" i="46"/>
  <c r="E35" i="46"/>
  <c r="E34" i="46"/>
  <c r="E33" i="46"/>
  <c r="E32" i="46"/>
  <c r="E31" i="46"/>
  <c r="E25" i="46"/>
  <c r="E22" i="46"/>
  <c r="E21" i="46"/>
  <c r="E19" i="46"/>
  <c r="E18" i="46"/>
  <c r="G59" i="45"/>
  <c r="F59" i="45"/>
  <c r="D59" i="45"/>
  <c r="C59" i="45"/>
  <c r="E58" i="45"/>
  <c r="E57" i="45"/>
  <c r="E56" i="45"/>
  <c r="E54" i="45"/>
  <c r="F52" i="45"/>
  <c r="D52" i="45"/>
  <c r="C52" i="45"/>
  <c r="G52" i="45"/>
  <c r="E51" i="45"/>
  <c r="E48" i="45"/>
  <c r="E47" i="45"/>
  <c r="E45" i="45"/>
  <c r="E44" i="45"/>
  <c r="E43" i="45"/>
  <c r="E42" i="45"/>
  <c r="E41" i="45"/>
  <c r="E40" i="45"/>
  <c r="E39" i="45"/>
  <c r="E38" i="45"/>
  <c r="G36" i="45"/>
  <c r="G60" i="45"/>
  <c r="D36" i="45"/>
  <c r="C36" i="45"/>
  <c r="E35" i="45"/>
  <c r="E34" i="45"/>
  <c r="E33" i="45"/>
  <c r="E32" i="45"/>
  <c r="E31" i="45"/>
  <c r="E30" i="45"/>
  <c r="E29" i="45"/>
  <c r="E27" i="45"/>
  <c r="E26" i="45"/>
  <c r="E25" i="45"/>
  <c r="E24" i="45"/>
  <c r="E23" i="45"/>
  <c r="E22" i="45"/>
  <c r="E21" i="45"/>
  <c r="E20" i="45"/>
  <c r="E19" i="45"/>
  <c r="E18" i="45"/>
  <c r="E16" i="45"/>
  <c r="G57" i="44"/>
  <c r="F57" i="44"/>
  <c r="D57" i="44"/>
  <c r="C57" i="44"/>
  <c r="E56" i="44"/>
  <c r="E55" i="44"/>
  <c r="E57" i="44"/>
  <c r="E54" i="44"/>
  <c r="E53" i="44"/>
  <c r="F51" i="44"/>
  <c r="D51" i="44"/>
  <c r="C51" i="44"/>
  <c r="G51" i="44"/>
  <c r="E50" i="44"/>
  <c r="E49" i="44"/>
  <c r="E48" i="44"/>
  <c r="E46" i="44"/>
  <c r="E44" i="44"/>
  <c r="E43" i="44"/>
  <c r="E42" i="44"/>
  <c r="E41" i="44"/>
  <c r="E40" i="44"/>
  <c r="E39" i="44"/>
  <c r="E51" i="44"/>
  <c r="E38" i="44"/>
  <c r="G36" i="44"/>
  <c r="G58" i="44"/>
  <c r="F36" i="44"/>
  <c r="D36" i="44"/>
  <c r="D58" i="44"/>
  <c r="C36" i="44"/>
  <c r="E35" i="44"/>
  <c r="E34" i="44"/>
  <c r="E33" i="44"/>
  <c r="E32" i="44"/>
  <c r="E31" i="44"/>
  <c r="E30" i="44"/>
  <c r="E29" i="44"/>
  <c r="E27" i="44"/>
  <c r="E26" i="44"/>
  <c r="E25" i="44"/>
  <c r="E24" i="44"/>
  <c r="E23" i="44"/>
  <c r="E22" i="44"/>
  <c r="E21" i="44"/>
  <c r="E20" i="44"/>
  <c r="E36" i="44"/>
  <c r="E58" i="44"/>
  <c r="E17" i="44"/>
  <c r="E16" i="44"/>
  <c r="I63" i="43"/>
  <c r="H63" i="43"/>
  <c r="F63" i="43"/>
  <c r="E63" i="43"/>
  <c r="G62" i="43"/>
  <c r="G61" i="43"/>
  <c r="G60" i="43"/>
  <c r="G58" i="43"/>
  <c r="H56" i="43"/>
  <c r="F56" i="43"/>
  <c r="F64" i="43"/>
  <c r="E56" i="43"/>
  <c r="I56" i="43"/>
  <c r="G55" i="43"/>
  <c r="G54" i="43"/>
  <c r="G53" i="43"/>
  <c r="G52" i="43"/>
  <c r="G51" i="43"/>
  <c r="G50" i="43"/>
  <c r="G48" i="43"/>
  <c r="G46" i="43"/>
  <c r="G45" i="43"/>
  <c r="G44" i="43"/>
  <c r="G42" i="43"/>
  <c r="G41" i="43"/>
  <c r="G40" i="43"/>
  <c r="G39" i="43"/>
  <c r="G38" i="43"/>
  <c r="F36" i="43"/>
  <c r="E36" i="43"/>
  <c r="G35" i="43"/>
  <c r="G34" i="43"/>
  <c r="G33" i="43"/>
  <c r="G32" i="43"/>
  <c r="G30" i="43"/>
  <c r="G21" i="43"/>
  <c r="G20" i="43"/>
  <c r="K19" i="43"/>
  <c r="G18" i="43"/>
  <c r="I60" i="42"/>
  <c r="H60" i="42"/>
  <c r="F60" i="42"/>
  <c r="E60" i="42"/>
  <c r="E61" i="42"/>
  <c r="G59" i="42"/>
  <c r="G57" i="42"/>
  <c r="G56" i="42"/>
  <c r="G55" i="42"/>
  <c r="G60" i="42"/>
  <c r="F53" i="42"/>
  <c r="E53" i="42"/>
  <c r="G52" i="42"/>
  <c r="G51" i="42"/>
  <c r="G50" i="42"/>
  <c r="G48" i="42"/>
  <c r="G46" i="42"/>
  <c r="G44" i="42"/>
  <c r="G41" i="42"/>
  <c r="G53" i="42"/>
  <c r="G40" i="42"/>
  <c r="G39" i="42"/>
  <c r="I37" i="42"/>
  <c r="F37" i="42"/>
  <c r="E37" i="42"/>
  <c r="G36" i="42"/>
  <c r="G35" i="42"/>
  <c r="G34" i="42"/>
  <c r="G33" i="42"/>
  <c r="G31" i="42"/>
  <c r="G30" i="42"/>
  <c r="K29" i="42"/>
  <c r="K28" i="42"/>
  <c r="G28" i="42"/>
  <c r="K27" i="42"/>
  <c r="G27" i="42"/>
  <c r="K26" i="42"/>
  <c r="G26" i="42"/>
  <c r="G25" i="42"/>
  <c r="G24" i="42"/>
  <c r="G21" i="42"/>
  <c r="G20" i="42"/>
  <c r="K19" i="42"/>
  <c r="G19" i="42"/>
  <c r="K18" i="42"/>
  <c r="G18" i="42"/>
  <c r="K17" i="42"/>
  <c r="G16" i="42"/>
  <c r="I64" i="41"/>
  <c r="H64" i="41"/>
  <c r="F64" i="41"/>
  <c r="E64" i="41"/>
  <c r="G63" i="41"/>
  <c r="G62" i="41"/>
  <c r="G60" i="41"/>
  <c r="G58" i="41"/>
  <c r="G64" i="41"/>
  <c r="I56" i="41"/>
  <c r="H56" i="41"/>
  <c r="F56" i="41"/>
  <c r="E56" i="41"/>
  <c r="G55" i="41"/>
  <c r="G54" i="41"/>
  <c r="G52" i="41"/>
  <c r="G51" i="41"/>
  <c r="G50" i="41"/>
  <c r="G49" i="41"/>
  <c r="G47" i="41"/>
  <c r="G46" i="41"/>
  <c r="G44" i="41"/>
  <c r="G42" i="41"/>
  <c r="G41" i="41"/>
  <c r="G40" i="41"/>
  <c r="G39" i="41"/>
  <c r="G38" i="41"/>
  <c r="I36" i="41"/>
  <c r="I65" i="41"/>
  <c r="F36" i="41"/>
  <c r="F65" i="41"/>
  <c r="E36" i="41"/>
  <c r="G30" i="41"/>
  <c r="G29" i="41"/>
  <c r="G26" i="41"/>
  <c r="G24" i="41"/>
  <c r="G22" i="41"/>
  <c r="G21" i="41"/>
  <c r="G20" i="41"/>
  <c r="G19" i="41"/>
  <c r="G18" i="41"/>
  <c r="G17" i="41"/>
  <c r="G16" i="41"/>
  <c r="G60" i="40"/>
  <c r="F60" i="40"/>
  <c r="D60" i="40"/>
  <c r="C60" i="40"/>
  <c r="E59" i="40"/>
  <c r="E58" i="40"/>
  <c r="E57" i="40"/>
  <c r="D54" i="40"/>
  <c r="C54" i="40"/>
  <c r="G54" i="40"/>
  <c r="F54" i="40"/>
  <c r="E52" i="40"/>
  <c r="E50" i="40"/>
  <c r="E49" i="40"/>
  <c r="E47" i="40"/>
  <c r="E46" i="40"/>
  <c r="E45" i="40"/>
  <c r="E44" i="40"/>
  <c r="E43" i="40"/>
  <c r="E42" i="40"/>
  <c r="E41" i="40"/>
  <c r="E40" i="40"/>
  <c r="E54" i="40"/>
  <c r="G38" i="40"/>
  <c r="F38" i="40"/>
  <c r="D38" i="40"/>
  <c r="E37" i="40"/>
  <c r="E36" i="40"/>
  <c r="E35" i="40"/>
  <c r="E34" i="40"/>
  <c r="E33" i="40"/>
  <c r="E32" i="40"/>
  <c r="E31" i="40"/>
  <c r="E29" i="40"/>
  <c r="E28" i="40"/>
  <c r="E27" i="40"/>
  <c r="E26" i="40"/>
  <c r="E25" i="40"/>
  <c r="E24" i="40"/>
  <c r="E23" i="40"/>
  <c r="E22" i="40"/>
  <c r="E21" i="40"/>
  <c r="E20" i="40"/>
  <c r="E38" i="40"/>
  <c r="E19" i="40"/>
  <c r="E18" i="40"/>
  <c r="E17" i="40"/>
  <c r="I125" i="39"/>
  <c r="H125" i="39"/>
  <c r="F125" i="39"/>
  <c r="G124" i="39"/>
  <c r="G123" i="39"/>
  <c r="G121" i="39"/>
  <c r="G119" i="39"/>
  <c r="G118" i="39"/>
  <c r="G116" i="39"/>
  <c r="G115" i="39"/>
  <c r="G112" i="39"/>
  <c r="G111" i="39"/>
  <c r="G109" i="39"/>
  <c r="G107" i="39"/>
  <c r="G106" i="39"/>
  <c r="G105" i="39"/>
  <c r="G104" i="39"/>
  <c r="G103" i="39"/>
  <c r="G102" i="39"/>
  <c r="G98" i="39"/>
  <c r="G97" i="39"/>
  <c r="G95" i="39"/>
  <c r="G94" i="39"/>
  <c r="G92" i="39"/>
  <c r="G91" i="39"/>
  <c r="G89" i="39"/>
  <c r="G88" i="39"/>
  <c r="I68" i="39"/>
  <c r="I86" i="39"/>
  <c r="I113" i="39"/>
  <c r="H68" i="39"/>
  <c r="H86" i="39"/>
  <c r="H113" i="39"/>
  <c r="F68" i="39"/>
  <c r="F86" i="39"/>
  <c r="F113" i="39"/>
  <c r="E68" i="39"/>
  <c r="E86" i="39"/>
  <c r="E113" i="39"/>
  <c r="G67" i="39"/>
  <c r="G64" i="39"/>
  <c r="G63" i="39"/>
  <c r="G62" i="39"/>
  <c r="G61" i="39"/>
  <c r="G60" i="39"/>
  <c r="G59" i="39"/>
  <c r="G56" i="39"/>
  <c r="G55" i="39"/>
  <c r="G54" i="39"/>
  <c r="G53" i="39"/>
  <c r="G52" i="39"/>
  <c r="G51" i="39"/>
  <c r="G50" i="39"/>
  <c r="G49" i="39"/>
  <c r="G46" i="39"/>
  <c r="G45" i="39"/>
  <c r="G40" i="39"/>
  <c r="G39" i="39"/>
  <c r="G38" i="39"/>
  <c r="I36" i="39"/>
  <c r="E36" i="39"/>
  <c r="G35" i="39"/>
  <c r="G34" i="39"/>
  <c r="G33" i="39"/>
  <c r="G32" i="39"/>
  <c r="G30" i="39"/>
  <c r="K27" i="39"/>
  <c r="K26" i="39"/>
  <c r="G26" i="39"/>
  <c r="K25" i="39"/>
  <c r="F36" i="39"/>
  <c r="G22" i="39"/>
  <c r="G21" i="39"/>
  <c r="G19" i="39"/>
  <c r="K17" i="39"/>
  <c r="K21" i="39"/>
  <c r="F66" i="38"/>
  <c r="E51" i="48"/>
  <c r="E59" i="45"/>
  <c r="K21" i="42"/>
  <c r="E53" i="40"/>
  <c r="I37" i="14"/>
  <c r="I58" i="14"/>
  <c r="E46" i="8"/>
  <c r="F61" i="9"/>
  <c r="D61" i="9"/>
  <c r="C61" i="9"/>
  <c r="H57" i="14"/>
  <c r="F57" i="14"/>
  <c r="E57" i="14"/>
  <c r="E57" i="8"/>
  <c r="E62" i="8"/>
  <c r="E49" i="10"/>
  <c r="F58" i="10"/>
  <c r="F51" i="10"/>
  <c r="F54" i="9"/>
  <c r="H50" i="14"/>
  <c r="E16" i="10"/>
  <c r="E17" i="10"/>
  <c r="E18" i="10"/>
  <c r="E19" i="10"/>
  <c r="E20" i="10"/>
  <c r="E21" i="10"/>
  <c r="E22" i="10"/>
  <c r="E23" i="10"/>
  <c r="E24" i="10"/>
  <c r="E25" i="10"/>
  <c r="E27" i="10"/>
  <c r="E28" i="10"/>
  <c r="E29" i="10"/>
  <c r="E30" i="10"/>
  <c r="E31" i="10"/>
  <c r="E32" i="10"/>
  <c r="E33" i="10"/>
  <c r="C34" i="10"/>
  <c r="D34" i="10"/>
  <c r="D59" i="10"/>
  <c r="F34" i="10"/>
  <c r="F59" i="10"/>
  <c r="E36" i="10"/>
  <c r="E51" i="10"/>
  <c r="E37" i="10"/>
  <c r="E38" i="10"/>
  <c r="E39" i="10"/>
  <c r="E40" i="10"/>
  <c r="E41" i="10"/>
  <c r="E42" i="10"/>
  <c r="E43" i="10"/>
  <c r="E44" i="10"/>
  <c r="E46" i="10"/>
  <c r="E47" i="10"/>
  <c r="E50" i="10"/>
  <c r="C51" i="10"/>
  <c r="D51" i="10"/>
  <c r="G51" i="10"/>
  <c r="E53" i="10"/>
  <c r="E55" i="10"/>
  <c r="E56" i="10"/>
  <c r="E58" i="10"/>
  <c r="E59" i="10"/>
  <c r="E57" i="10"/>
  <c r="C58" i="10"/>
  <c r="C59" i="10"/>
  <c r="D58" i="10"/>
  <c r="G58" i="10"/>
  <c r="E17" i="8"/>
  <c r="E36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C36" i="8"/>
  <c r="D36" i="8"/>
  <c r="F36" i="8"/>
  <c r="G36" i="8"/>
  <c r="E38" i="8"/>
  <c r="E39" i="8"/>
  <c r="E40" i="8"/>
  <c r="E41" i="8"/>
  <c r="E42" i="8"/>
  <c r="E43" i="8"/>
  <c r="E47" i="8"/>
  <c r="E49" i="8"/>
  <c r="E50" i="8"/>
  <c r="E51" i="8"/>
  <c r="E53" i="8"/>
  <c r="E54" i="8"/>
  <c r="C55" i="8"/>
  <c r="C63" i="8"/>
  <c r="D55" i="8"/>
  <c r="D63" i="8"/>
  <c r="F55" i="8"/>
  <c r="F63" i="8"/>
  <c r="G55" i="8"/>
  <c r="E59" i="8"/>
  <c r="E60" i="8"/>
  <c r="E61" i="8"/>
  <c r="C62" i="8"/>
  <c r="D62" i="8"/>
  <c r="F62" i="8"/>
  <c r="G62" i="8"/>
  <c r="E17" i="9"/>
  <c r="E37" i="9"/>
  <c r="E62" i="9"/>
  <c r="E18" i="9"/>
  <c r="E19" i="9"/>
  <c r="E20" i="9"/>
  <c r="E21" i="9"/>
  <c r="E22" i="9"/>
  <c r="E23" i="9"/>
  <c r="E24" i="9"/>
  <c r="E25" i="9"/>
  <c r="E26" i="9"/>
  <c r="E27" i="9"/>
  <c r="E28" i="9"/>
  <c r="E30" i="9"/>
  <c r="E31" i="9"/>
  <c r="E32" i="9"/>
  <c r="E33" i="9"/>
  <c r="E34" i="9"/>
  <c r="E35" i="9"/>
  <c r="E36" i="9"/>
  <c r="D37" i="9"/>
  <c r="D62" i="9"/>
  <c r="F37" i="9"/>
  <c r="F62" i="9"/>
  <c r="E39" i="9"/>
  <c r="E54" i="9"/>
  <c r="E40" i="9"/>
  <c r="E41" i="9"/>
  <c r="E43" i="9"/>
  <c r="E45" i="9"/>
  <c r="E46" i="9"/>
  <c r="E47" i="9"/>
  <c r="E48" i="9"/>
  <c r="E50" i="9"/>
  <c r="E51" i="9"/>
  <c r="E52" i="9"/>
  <c r="E53" i="9"/>
  <c r="C54" i="9"/>
  <c r="C62" i="9"/>
  <c r="D54" i="9"/>
  <c r="E58" i="9"/>
  <c r="E59" i="9"/>
  <c r="E60" i="9"/>
  <c r="G61" i="9"/>
  <c r="G17" i="14"/>
  <c r="G18" i="14"/>
  <c r="G37" i="14"/>
  <c r="G58" i="14"/>
  <c r="G19" i="14"/>
  <c r="G20" i="14"/>
  <c r="G21" i="14"/>
  <c r="G22" i="14"/>
  <c r="G23" i="14"/>
  <c r="G24" i="14"/>
  <c r="G25" i="14"/>
  <c r="G26" i="14"/>
  <c r="G27" i="14"/>
  <c r="G28" i="14"/>
  <c r="G30" i="14"/>
  <c r="G31" i="14"/>
  <c r="G32" i="14"/>
  <c r="G33" i="14"/>
  <c r="G34" i="14"/>
  <c r="G35" i="14"/>
  <c r="G36" i="14"/>
  <c r="E37" i="14"/>
  <c r="E58" i="14"/>
  <c r="F37" i="14"/>
  <c r="F58" i="14"/>
  <c r="G39" i="14"/>
  <c r="G40" i="14"/>
  <c r="G41" i="14"/>
  <c r="G42" i="14"/>
  <c r="G43" i="14"/>
  <c r="G44" i="14"/>
  <c r="G45" i="14"/>
  <c r="G46" i="14"/>
  <c r="G47" i="14"/>
  <c r="G48" i="14"/>
  <c r="G49" i="14"/>
  <c r="E50" i="14"/>
  <c r="F50" i="14"/>
  <c r="I50" i="14"/>
  <c r="G54" i="14"/>
  <c r="G57" i="14"/>
  <c r="G55" i="14"/>
  <c r="G56" i="14"/>
  <c r="I57" i="14"/>
  <c r="G61" i="40"/>
  <c r="C67" i="47"/>
  <c r="E61" i="9"/>
  <c r="G56" i="41"/>
  <c r="E55" i="8"/>
  <c r="D60" i="45"/>
  <c r="E66" i="37"/>
  <c r="H66" i="37"/>
  <c r="E34" i="10"/>
  <c r="G50" i="14"/>
  <c r="G63" i="8"/>
  <c r="I66" i="37"/>
  <c r="E65" i="41"/>
  <c r="F61" i="42"/>
  <c r="H37" i="42"/>
  <c r="I53" i="42"/>
  <c r="I61" i="42"/>
  <c r="G37" i="42"/>
  <c r="G61" i="42"/>
  <c r="G43" i="42"/>
  <c r="F58" i="44"/>
  <c r="C58" i="44"/>
  <c r="E64" i="43"/>
  <c r="G56" i="43"/>
  <c r="G63" i="43"/>
  <c r="G36" i="43"/>
  <c r="H36" i="43"/>
  <c r="H64" i="43"/>
  <c r="C60" i="45"/>
  <c r="E52" i="45"/>
  <c r="E17" i="45"/>
  <c r="E36" i="45"/>
  <c r="E60" i="45"/>
  <c r="G63" i="46"/>
  <c r="G62" i="46"/>
  <c r="F56" i="47"/>
  <c r="E56" i="47"/>
  <c r="G67" i="47"/>
  <c r="E36" i="47"/>
  <c r="E66" i="47"/>
  <c r="D62" i="46"/>
  <c r="C63" i="46"/>
  <c r="E54" i="46"/>
  <c r="E61" i="46"/>
  <c r="F37" i="46"/>
  <c r="E37" i="46"/>
  <c r="D63" i="46"/>
  <c r="F36" i="47"/>
  <c r="F67" i="47"/>
  <c r="G66" i="48"/>
  <c r="E65" i="48"/>
  <c r="F39" i="48"/>
  <c r="F66" i="48"/>
  <c r="E42" i="48"/>
  <c r="E59" i="48"/>
  <c r="E17" i="48"/>
  <c r="E39" i="48"/>
  <c r="G64" i="43"/>
  <c r="E67" i="47"/>
  <c r="F63" i="46"/>
  <c r="F62" i="46"/>
  <c r="E62" i="46"/>
  <c r="E63" i="46"/>
  <c r="E66" i="48"/>
  <c r="G59" i="10"/>
  <c r="E63" i="8"/>
  <c r="H66" i="38"/>
  <c r="E66" i="38"/>
  <c r="H36" i="39"/>
  <c r="H126" i="39"/>
  <c r="F126" i="39"/>
  <c r="I126" i="39"/>
  <c r="G68" i="39"/>
  <c r="G86" i="39"/>
  <c r="G113" i="39"/>
  <c r="E126" i="39"/>
  <c r="G36" i="39"/>
  <c r="G125" i="39"/>
  <c r="F61" i="40"/>
  <c r="E60" i="40"/>
  <c r="D61" i="40"/>
  <c r="E61" i="40"/>
  <c r="H65" i="41"/>
  <c r="G36" i="41"/>
  <c r="G65" i="41"/>
  <c r="G126" i="39"/>
</calcChain>
</file>

<file path=xl/comments1.xml><?xml version="1.0" encoding="utf-8"?>
<comments xmlns="http://schemas.openxmlformats.org/spreadsheetml/2006/main">
  <authors>
    <author>User</author>
  </authors>
  <commentList>
    <comment ref="F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<sst xmlns="http://schemas.openxmlformats.org/spreadsheetml/2006/main" count="2140" uniqueCount="369">
  <si>
    <t>Code</t>
  </si>
  <si>
    <t>Past Year</t>
  </si>
  <si>
    <t>(Actual)</t>
  </si>
  <si>
    <t>Budget Year</t>
  </si>
  <si>
    <t>1.0 CURRENT OPERATING EXPENDITURES</t>
  </si>
  <si>
    <t>1.1 PERSONAL SERVICES</t>
  </si>
  <si>
    <t xml:space="preserve"> TOTAL PERSONAL SERVICES</t>
  </si>
  <si>
    <t>1.2 MAINT. &amp; OTHER OPERATING EXP.</t>
  </si>
  <si>
    <t xml:space="preserve">        Traveling Expenses</t>
  </si>
  <si>
    <t>2.0 CAPITAL OUTLAY</t>
  </si>
  <si>
    <t xml:space="preserve">        Cash Gift</t>
  </si>
  <si>
    <t xml:space="preserve">        Electricity Expenses</t>
  </si>
  <si>
    <t xml:space="preserve">        Insurance Expenses</t>
  </si>
  <si>
    <t xml:space="preserve">        Office Supplies Expenses</t>
  </si>
  <si>
    <t xml:space="preserve">      Furniture &amp; Fixtures Outlay</t>
  </si>
  <si>
    <t>Account</t>
  </si>
  <si>
    <t>Approved:</t>
  </si>
  <si>
    <t xml:space="preserve">        Water Expenses</t>
  </si>
  <si>
    <t xml:space="preserve">        Other Maint. &amp; Operating Expenses</t>
  </si>
  <si>
    <t>MAINT. &amp; OTHER OPERATING  EXPENSES</t>
  </si>
  <si>
    <t>1.2 MAINT. &amp; OTHER OPERATING EXPENSES</t>
  </si>
  <si>
    <t xml:space="preserve">        Fidelity Bond Premium</t>
  </si>
  <si>
    <t xml:space="preserve">        Other Maint. Operating Expenses</t>
  </si>
  <si>
    <t>TOTAL MAINT. &amp; OTHER OPERATING EXPENSES</t>
  </si>
  <si>
    <t xml:space="preserve">  TOTAL MOOE</t>
  </si>
  <si>
    <t xml:space="preserve">PROGRAMMED APPROPRIATION AND OBLIGATION </t>
  </si>
  <si>
    <t>BY OBJECT OF EXPENDITURE</t>
  </si>
  <si>
    <t>Object of Expenditure</t>
  </si>
  <si>
    <t>(1)</t>
  </si>
  <si>
    <t>(2)</t>
  </si>
  <si>
    <t>(3)</t>
  </si>
  <si>
    <t>(4)</t>
  </si>
  <si>
    <t>(5)</t>
  </si>
  <si>
    <t>(Proposed)</t>
  </si>
  <si>
    <t xml:space="preserve">        Overtime Pay</t>
  </si>
  <si>
    <t>Municipal Accountant</t>
  </si>
  <si>
    <t>Rural Health Physician</t>
  </si>
  <si>
    <t>Municipal Engineer</t>
  </si>
  <si>
    <t>CAPITAL OUTLAY</t>
  </si>
  <si>
    <t xml:space="preserve">        Salaries and  Wages (Regular)</t>
  </si>
  <si>
    <t xml:space="preserve">        Representation Allowance</t>
  </si>
  <si>
    <t xml:space="preserve">        Transportation  Allowance</t>
  </si>
  <si>
    <t xml:space="preserve">        Clothing Allowance</t>
  </si>
  <si>
    <t xml:space="preserve">        Pag-ibig Contributions</t>
  </si>
  <si>
    <t xml:space="preserve">        PHILHEALTH Contributions</t>
  </si>
  <si>
    <t xml:space="preserve">        Other Personnel Benefits  (Monetization)</t>
  </si>
  <si>
    <t xml:space="preserve">        Salaries and  Wages  (Regular)</t>
  </si>
  <si>
    <t xml:space="preserve">        Taxes, Duties and Licenses</t>
  </si>
  <si>
    <t xml:space="preserve">        Personnel Economic Relief Allowance (PERA)</t>
  </si>
  <si>
    <t xml:space="preserve">        Pag-ibig Contribution</t>
  </si>
  <si>
    <t xml:space="preserve">        Building Outlay</t>
  </si>
  <si>
    <t>Municipal Mayor</t>
  </si>
  <si>
    <t xml:space="preserve">       Office Equipment Outlay</t>
  </si>
  <si>
    <t xml:space="preserve">   TOTAL APPROPRIATION</t>
  </si>
  <si>
    <t xml:space="preserve">        Salaries and  Wages  - Regular</t>
  </si>
  <si>
    <t xml:space="preserve">        Personnel Economic Relief Allowance  (PERA)</t>
  </si>
  <si>
    <t xml:space="preserve">        Transportation Allowance</t>
  </si>
  <si>
    <t xml:space="preserve">        PAG-IBIG Contributions</t>
  </si>
  <si>
    <t xml:space="preserve">        PHILHEALTH  Contributions</t>
  </si>
  <si>
    <t xml:space="preserve">        Other Personnel Benefits  (Loyalty Bonus)</t>
  </si>
  <si>
    <t xml:space="preserve">        Other Personnel Benefits  (PEI)</t>
  </si>
  <si>
    <t xml:space="preserve">        Food &amp; Non-Food Expenses</t>
  </si>
  <si>
    <t xml:space="preserve">        Medical,Dental &amp; Laboratory Expenses</t>
  </si>
  <si>
    <t xml:space="preserve">        Advertising Expenses</t>
  </si>
  <si>
    <t xml:space="preserve">        Representation Expenses</t>
  </si>
  <si>
    <t xml:space="preserve">        Subscription Expenses</t>
  </si>
  <si>
    <t xml:space="preserve">        Other Professional Services  (Honoraria)</t>
  </si>
  <si>
    <t xml:space="preserve">        Confidential  Expenses</t>
  </si>
  <si>
    <t xml:space="preserve">        Representation Allowance (RA)</t>
  </si>
  <si>
    <t xml:space="preserve">        Transportation Allowance (TA)</t>
  </si>
  <si>
    <t xml:space="preserve">        Other Personnel Benefits   (Monetization)</t>
  </si>
  <si>
    <t xml:space="preserve">        Other Personnel Benefits   (PEI)</t>
  </si>
  <si>
    <t xml:space="preserve">        Other Personnel Benefits  (Loyalty)</t>
  </si>
  <si>
    <t xml:space="preserve">        Representation Allowance  (RA)</t>
  </si>
  <si>
    <t xml:space="preserve">        Transportation Allowance  (TA)</t>
  </si>
  <si>
    <t xml:space="preserve">  TOTAL PERSONAL SERVICES</t>
  </si>
  <si>
    <t xml:space="preserve">  TOTAL  MOOE</t>
  </si>
  <si>
    <t xml:space="preserve">  TOTAL CAPITAL OUTLAY</t>
  </si>
  <si>
    <t xml:space="preserve">        Office Equipment Outlay</t>
  </si>
  <si>
    <t xml:space="preserve">        Furniture &amp; Fixtures Outlay</t>
  </si>
  <si>
    <t xml:space="preserve">        Accountable Forms</t>
  </si>
  <si>
    <t xml:space="preserve">        Medical,Dental and Laboratory Supplies</t>
  </si>
  <si>
    <t xml:space="preserve">        Furniture and Fixture</t>
  </si>
  <si>
    <t xml:space="preserve">        Other Structures Outlay</t>
  </si>
  <si>
    <t xml:space="preserve">        Furniture &amp; Fixture Outlay</t>
  </si>
  <si>
    <t xml:space="preserve">  TOTAL  CAPITAL OUTLAY</t>
  </si>
  <si>
    <t xml:space="preserve">        Construction &amp; Heavy Equipment Outlay</t>
  </si>
  <si>
    <t xml:space="preserve">        Other Personnel Benefits   (Loyalty)</t>
  </si>
  <si>
    <t>RHEMIA G. GUIANAN, M.D.</t>
  </si>
  <si>
    <t xml:space="preserve">        Other Personnel Benefits (Anniversary Bonus)</t>
  </si>
  <si>
    <t xml:space="preserve">        Auditing Services</t>
  </si>
  <si>
    <t>OFFICE: Office of the Municipal Mayor</t>
  </si>
  <si>
    <t>OFFICE:  Office of the Municipal Assessor</t>
  </si>
  <si>
    <t>OFFICE:  Office of the Municipal Budget Officer</t>
  </si>
  <si>
    <t xml:space="preserve">        Year-end Bonus</t>
  </si>
  <si>
    <t xml:space="preserve">        Year End Bonus</t>
  </si>
  <si>
    <t>MARLYN F. SAMSON, CE</t>
  </si>
  <si>
    <t xml:space="preserve">        Furniture and Fixture Outlay</t>
  </si>
  <si>
    <r>
      <t xml:space="preserve">   </t>
    </r>
    <r>
      <rPr>
        <b/>
        <sz val="10"/>
        <color indexed="56"/>
        <rFont val="Candara"/>
        <family val="2"/>
      </rPr>
      <t>TOTAL APPROPRIATION</t>
    </r>
  </si>
  <si>
    <t>ORLANDO M. VERSOLA, CE, MPA</t>
  </si>
  <si>
    <t>5-01-01-010</t>
  </si>
  <si>
    <t>5-01-02-010</t>
  </si>
  <si>
    <t>5-01-02-040</t>
  </si>
  <si>
    <t>5-01-02-150</t>
  </si>
  <si>
    <t>5-01-02-140</t>
  </si>
  <si>
    <t>5-01-03-010</t>
  </si>
  <si>
    <t>5-01-03-020</t>
  </si>
  <si>
    <t>5-01-03-030</t>
  </si>
  <si>
    <t>5-01-03-040</t>
  </si>
  <si>
    <t>5-02-01-010</t>
  </si>
  <si>
    <t>5-02-02-010</t>
  </si>
  <si>
    <t>5-02-03-010</t>
  </si>
  <si>
    <t>5-02-03-990</t>
  </si>
  <si>
    <t>5-02-05-010</t>
  </si>
  <si>
    <t>5-02-05-030</t>
  </si>
  <si>
    <t>5-02-13-990</t>
  </si>
  <si>
    <t>5-02-99-990</t>
  </si>
  <si>
    <t>1-07-05-020</t>
  </si>
  <si>
    <t>1-07-07-010</t>
  </si>
  <si>
    <t>1-07-99-990</t>
  </si>
  <si>
    <t>5-01-02-020</t>
  </si>
  <si>
    <t>5-01-02-030</t>
  </si>
  <si>
    <t>5-02-03-090</t>
  </si>
  <si>
    <t>5-02-04-010</t>
  </si>
  <si>
    <t>5-02-13-050</t>
  </si>
  <si>
    <t>1-07-05-030</t>
  </si>
  <si>
    <t>5-01-02-130</t>
  </si>
  <si>
    <t>5-01-02-140-1</t>
  </si>
  <si>
    <t>5-01-04-990-1</t>
  </si>
  <si>
    <t>5-01-04-990-2</t>
  </si>
  <si>
    <t>5-01-04-990-3</t>
  </si>
  <si>
    <t>5-01-04-990-4</t>
  </si>
  <si>
    <t>5-02-03-050</t>
  </si>
  <si>
    <t>5-02-03-080</t>
  </si>
  <si>
    <t>5-02-04-020</t>
  </si>
  <si>
    <t>5-02-05-020</t>
  </si>
  <si>
    <t>5-02-99-010</t>
  </si>
  <si>
    <t>5-02-99-030</t>
  </si>
  <si>
    <t>5-02-99-070</t>
  </si>
  <si>
    <t>5-02-11-990</t>
  </si>
  <si>
    <t>5-02-11-020</t>
  </si>
  <si>
    <t>5-02-99-080</t>
  </si>
  <si>
    <t>5-02-10-010</t>
  </si>
  <si>
    <t>5-02-16-010</t>
  </si>
  <si>
    <t>5-02-16-020</t>
  </si>
  <si>
    <t>5-02-16-030</t>
  </si>
  <si>
    <t>1-07-06-010</t>
  </si>
  <si>
    <t>5-02-13-040</t>
  </si>
  <si>
    <t>5-02-13-060</t>
  </si>
  <si>
    <t>5-02-03-020</t>
  </si>
  <si>
    <t xml:space="preserve">        Mid- Year Bonus</t>
  </si>
  <si>
    <t xml:space="preserve">        Repairs and Maint. - Infrastructure Assets</t>
  </si>
  <si>
    <t>5-02-13-030</t>
  </si>
  <si>
    <t>1-07-04-010</t>
  </si>
  <si>
    <t>1-07-04-990</t>
  </si>
  <si>
    <t>1-07-05-080</t>
  </si>
  <si>
    <t>5-01-02-050</t>
  </si>
  <si>
    <t>5-01-02-060</t>
  </si>
  <si>
    <t>5-01-02-110</t>
  </si>
  <si>
    <t>5-02-99-060</t>
  </si>
  <si>
    <t xml:space="preserve">        Retirement and Life Insurance Premiums</t>
  </si>
  <si>
    <t xml:space="preserve">        Employees Compensation Insurance Premiums</t>
  </si>
  <si>
    <t>LBP Form No. 2</t>
  </si>
  <si>
    <t xml:space="preserve">        Fuel, Oil and Lubricants Expenses</t>
  </si>
  <si>
    <t xml:space="preserve">        Other Supplies and Materials Expenses</t>
  </si>
  <si>
    <t xml:space="preserve">        Postage and Courier Services </t>
  </si>
  <si>
    <t xml:space="preserve">        Internet Subscription Expenses</t>
  </si>
  <si>
    <t>First Semester</t>
  </si>
  <si>
    <t>Second Semester</t>
  </si>
  <si>
    <t>Total</t>
  </si>
  <si>
    <t>(6)</t>
  </si>
  <si>
    <t>(7)</t>
  </si>
  <si>
    <t>Reviewed by:</t>
  </si>
  <si>
    <t xml:space="preserve">       Municipal Planning &amp; Dev't. Coor.</t>
  </si>
  <si>
    <t xml:space="preserve">                  NOEL V. ESPINOSA</t>
  </si>
  <si>
    <t xml:space="preserve">           ROSALIA B. BARRACA</t>
  </si>
  <si>
    <t xml:space="preserve">                 TRINIDAD T. BUTARDO</t>
  </si>
  <si>
    <t xml:space="preserve">                 Municipal Civil Registrar</t>
  </si>
  <si>
    <t xml:space="preserve">       Retirement and Life Insurance Premiums</t>
  </si>
  <si>
    <t xml:space="preserve">               WILFREDO V. JULOYA JR.</t>
  </si>
  <si>
    <t xml:space="preserve">        Subsistence Allowance</t>
  </si>
  <si>
    <t xml:space="preserve">        Laundry  Allowance</t>
  </si>
  <si>
    <t xml:space="preserve">        Hazard Pay</t>
  </si>
  <si>
    <t>(Estimate)</t>
  </si>
  <si>
    <t xml:space="preserve"> </t>
  </si>
  <si>
    <t xml:space="preserve">        Other Property, Plant &amp; Equipment Outlay</t>
  </si>
  <si>
    <t xml:space="preserve">        Printing and Publication Expenses</t>
  </si>
  <si>
    <t>5-02-99-020</t>
  </si>
  <si>
    <t xml:space="preserve">        Employees Compensation</t>
  </si>
  <si>
    <t xml:space="preserve">                           Insurance Premiums</t>
  </si>
  <si>
    <t xml:space="preserve">        Other Personnel Benefits(Anniversary Bonus)</t>
  </si>
  <si>
    <t xml:space="preserve">        Repair &amp; Maintenance- Other </t>
  </si>
  <si>
    <t xml:space="preserve">                          Property, Plant &amp;  Equipt.</t>
  </si>
  <si>
    <t xml:space="preserve">        Personnel Economic Relief Allowance(PERA)</t>
  </si>
  <si>
    <t xml:space="preserve">  TOTAL CARRIED FORWARD</t>
  </si>
  <si>
    <t xml:space="preserve">  TOTAL BROUGHT FORWARD</t>
  </si>
  <si>
    <t xml:space="preserve">                             Insurance Premiums</t>
  </si>
  <si>
    <t xml:space="preserve">       Repairs and Maintenance - Buildings and</t>
  </si>
  <si>
    <t xml:space="preserve">                         Other Structures</t>
  </si>
  <si>
    <t xml:space="preserve">                          Plant andEquipment</t>
  </si>
  <si>
    <t xml:space="preserve">        Membership Dues &amp; Contribution</t>
  </si>
  <si>
    <t xml:space="preserve">                          to Organization</t>
  </si>
  <si>
    <t xml:space="preserve">      Information and Communication</t>
  </si>
  <si>
    <t xml:space="preserve">                    Insurance Premiums</t>
  </si>
  <si>
    <t xml:space="preserve">        Repair &amp; Maintenance- Other Property,</t>
  </si>
  <si>
    <t xml:space="preserve">        Repairs and Maintenance - </t>
  </si>
  <si>
    <t xml:space="preserve">                     Transportation Equipment  </t>
  </si>
  <si>
    <t xml:space="preserve">        Repairs and Maintenance - Other Property,</t>
  </si>
  <si>
    <t xml:space="preserve">                     Plant and Equipment</t>
  </si>
  <si>
    <t xml:space="preserve">        Information and Communication</t>
  </si>
  <si>
    <t xml:space="preserve">                      Technology  Equipment </t>
  </si>
  <si>
    <t xml:space="preserve">Prepared by:                                                            </t>
  </si>
  <si>
    <t xml:space="preserve">                                 Technology  Equipment </t>
  </si>
  <si>
    <t xml:space="preserve">                                 Plant andEquipment</t>
  </si>
  <si>
    <t xml:space="preserve">        Repairs and Maint. - Transportation</t>
  </si>
  <si>
    <t xml:space="preserve">                                Equipment  </t>
  </si>
  <si>
    <t xml:space="preserve">                               Technology  Equipment </t>
  </si>
  <si>
    <t xml:space="preserve">                         Insurance Premiums</t>
  </si>
  <si>
    <t xml:space="preserve">                          Municipal Assessor</t>
  </si>
  <si>
    <t xml:space="preserve">                                   Insurance Premiums</t>
  </si>
  <si>
    <t xml:space="preserve">                                Insurance Premiums</t>
  </si>
  <si>
    <t xml:space="preserve">        Membership Dues and Contributions</t>
  </si>
  <si>
    <t xml:space="preserve">                                to Organizations</t>
  </si>
  <si>
    <t xml:space="preserve">Prepared by:                                                           </t>
  </si>
  <si>
    <t xml:space="preserve">Prepared by:                                                                 </t>
  </si>
  <si>
    <t xml:space="preserve">Prepared by:                                                                  </t>
  </si>
  <si>
    <t xml:space="preserve">             Municipal Treasurer</t>
  </si>
  <si>
    <t>LERIO D. MIGUEL ,CPA</t>
  </si>
  <si>
    <t xml:space="preserve">        Employees Compensation </t>
  </si>
  <si>
    <t xml:space="preserve">                            Insurance Premiums</t>
  </si>
  <si>
    <t xml:space="preserve">                            Technology  Equipment </t>
  </si>
  <si>
    <t xml:space="preserve">                                 Insurance Premiums</t>
  </si>
  <si>
    <t xml:space="preserve">Prepared by:                                                  </t>
  </si>
  <si>
    <t xml:space="preserve">                   Municipal Agriculturist</t>
  </si>
  <si>
    <t xml:space="preserve">Prepared by:                                                         </t>
  </si>
  <si>
    <t xml:space="preserve">        Rep. and Maint. - Buildings and</t>
  </si>
  <si>
    <t xml:space="preserve">        Repairs &amp; Maint. - Transportation Equipt.  </t>
  </si>
  <si>
    <t xml:space="preserve">                                       Property, Plant &amp;  Equipt.</t>
  </si>
  <si>
    <t xml:space="preserve">                                      Other Structures</t>
  </si>
  <si>
    <t xml:space="preserve">         Repair &amp; Maint.- Machinery &amp; Equipment</t>
  </si>
  <si>
    <t xml:space="preserve">        Repairs &amp; Maint. - Machinery &amp; Equipment </t>
  </si>
  <si>
    <t xml:space="preserve">Prepared by:                                                     </t>
  </si>
  <si>
    <t xml:space="preserve">Prepared by:                                                 </t>
  </si>
  <si>
    <t xml:space="preserve">                                    Insurance Premiums</t>
  </si>
  <si>
    <t xml:space="preserve">        Information &amp; Technology  Equipt. Outlay</t>
  </si>
  <si>
    <t xml:space="preserve">                     Property, Plant and Equipment</t>
  </si>
  <si>
    <t xml:space="preserve">        Other Property, Plant and Equipt Outlay</t>
  </si>
  <si>
    <t xml:space="preserve">        Repair &amp; Maint.- Machinery &amp; Equipment</t>
  </si>
  <si>
    <t xml:space="preserve">        Repair &amp; Maint.-Transportation Equipment</t>
  </si>
  <si>
    <t xml:space="preserve">        Information and Communication </t>
  </si>
  <si>
    <t xml:space="preserve">                         Technology  Equipment </t>
  </si>
  <si>
    <t xml:space="preserve">               Technology  Equipment Outlay</t>
  </si>
  <si>
    <t xml:space="preserve">                ROLANDO  M. BERNARDINO</t>
  </si>
  <si>
    <t xml:space="preserve">        Other Property, Plant &amp;  Equipment Outlay</t>
  </si>
  <si>
    <t xml:space="preserve">                    Technology  Equipment Outlay</t>
  </si>
  <si>
    <t xml:space="preserve">               Technology  Equipment  Outlay</t>
  </si>
  <si>
    <t xml:space="preserve">                      Technology  Equipment  Outlay</t>
  </si>
  <si>
    <t xml:space="preserve">        Motor Vehicle Outlay</t>
  </si>
  <si>
    <t xml:space="preserve">       Other Property, Plant and Equipment Outlay</t>
  </si>
  <si>
    <t>SAMUEL F. FAELDONIA</t>
  </si>
  <si>
    <t xml:space="preserve">        Other Personnel Benefits(CNA)</t>
  </si>
  <si>
    <t>5-01-04-990-5</t>
  </si>
  <si>
    <t xml:space="preserve">       Printing and Publication Expenses</t>
  </si>
  <si>
    <t xml:space="preserve">       Other Structure Outlay</t>
  </si>
  <si>
    <t>Local DRRM Officer III</t>
  </si>
  <si>
    <t xml:space="preserve">        Telephone Expense-Mobile</t>
  </si>
  <si>
    <r>
      <t xml:space="preserve">           b</t>
    </r>
    <r>
      <rPr>
        <i/>
        <sz val="9.5"/>
        <color indexed="56"/>
        <rFont val="Candara"/>
        <family val="2"/>
      </rPr>
      <t>. Donations</t>
    </r>
  </si>
  <si>
    <r>
      <t xml:space="preserve">           </t>
    </r>
    <r>
      <rPr>
        <i/>
        <sz val="9.5"/>
        <color indexed="56"/>
        <rFont val="Candara"/>
        <family val="2"/>
      </rPr>
      <t>a. Project</t>
    </r>
  </si>
  <si>
    <r>
      <t xml:space="preserve">           c</t>
    </r>
    <r>
      <rPr>
        <i/>
        <sz val="9.5"/>
        <color indexed="56"/>
        <rFont val="Candara"/>
        <family val="2"/>
      </rPr>
      <t>. Programs and Activities</t>
    </r>
  </si>
  <si>
    <t xml:space="preserve">                   Sports Dev't</t>
  </si>
  <si>
    <t>Municipal Budget Officer</t>
  </si>
  <si>
    <t>OSCAR M. VALDEVIESO</t>
  </si>
  <si>
    <t>Municipal Vice Mayor</t>
  </si>
  <si>
    <t xml:space="preserve">        Other Tranportation Equipment Outlay</t>
  </si>
  <si>
    <t>1-07-06-990</t>
  </si>
  <si>
    <t xml:space="preserve">       Building Outlay</t>
  </si>
  <si>
    <t xml:space="preserve">        Other Professional Services</t>
  </si>
  <si>
    <t xml:space="preserve">        Award and Rewards Expenses</t>
  </si>
  <si>
    <t>5-02-06-010</t>
  </si>
  <si>
    <t>5-02-08-010</t>
  </si>
  <si>
    <t xml:space="preserve">        Demolition &amp; Relocation Expenses</t>
  </si>
  <si>
    <t xml:space="preserve">        Training Expenses</t>
  </si>
  <si>
    <t xml:space="preserve">                  Support to Mun. Agricultural &amp;</t>
  </si>
  <si>
    <t xml:space="preserve">                        Fishery Council</t>
  </si>
  <si>
    <t xml:space="preserve">                  Support to PPAs to Combat Acquired</t>
  </si>
  <si>
    <t xml:space="preserve">                      Immune Deficiency Program</t>
  </si>
  <si>
    <t xml:space="preserve">                 Support to Local Special Bodies</t>
  </si>
  <si>
    <t xml:space="preserve">                  Support to the Formulation of Other </t>
  </si>
  <si>
    <t xml:space="preserve">                      Plans &amp; Programs</t>
  </si>
  <si>
    <t xml:space="preserve">                   Support to  COMELEC</t>
  </si>
  <si>
    <t xml:space="preserve">        Welfare Goods Expenses</t>
  </si>
  <si>
    <t>5-02-03-060</t>
  </si>
  <si>
    <t>5-01-04-990-6</t>
  </si>
  <si>
    <t xml:space="preserve">        Other Personnel Benefits(SRI)</t>
  </si>
  <si>
    <t xml:space="preserve">        Procurement of Medicines and Vitamins</t>
  </si>
  <si>
    <t>5-02-03-070</t>
  </si>
  <si>
    <t xml:space="preserve">                   Support to Arakan Valley Complex Development</t>
  </si>
  <si>
    <t xml:space="preserve">                  Support to Rice,Corn &amp;Veg. Farmers</t>
  </si>
  <si>
    <t xml:space="preserve">                  Provision of Vet. Drugs for the cotrol of</t>
  </si>
  <si>
    <t xml:space="preserve">                       Animal Pests and Diseases</t>
  </si>
  <si>
    <t xml:space="preserve">                  Foundation Anniv./ Fiesta</t>
  </si>
  <si>
    <t xml:space="preserve">                  Human Resource Management</t>
  </si>
  <si>
    <t xml:space="preserve">                   Other Programs and Activities</t>
  </si>
  <si>
    <t xml:space="preserve">                  Support to Rural Based Org. Dev't</t>
  </si>
  <si>
    <t xml:space="preserve">      Office Equipment Outlay</t>
  </si>
  <si>
    <t>5-02-14-080</t>
  </si>
  <si>
    <t>JERMAINE JOIEE B. TORRES</t>
  </si>
  <si>
    <t xml:space="preserve">        Subsidy to Local Economic Enterprise</t>
  </si>
  <si>
    <t xml:space="preserve">         Repair &amp; Maint.- Transportation Equipment</t>
  </si>
  <si>
    <t xml:space="preserve">        Other Professional Services (Honoraria)</t>
  </si>
  <si>
    <t xml:space="preserve">        Grants and Donations:    </t>
  </si>
  <si>
    <t xml:space="preserve">        Subsidy to GF Proper/ Special Accounts</t>
  </si>
  <si>
    <t>5-02-14-070</t>
  </si>
  <si>
    <t xml:space="preserve">       Road Networks</t>
  </si>
  <si>
    <t>1-07-03-010</t>
  </si>
  <si>
    <t xml:space="preserve">       Power Supply Systems</t>
  </si>
  <si>
    <t>1-07-03-050</t>
  </si>
  <si>
    <t xml:space="preserve">                   Pamaskong Handog Para sa mga Bata</t>
  </si>
  <si>
    <t xml:space="preserve">                   Livelihood Assistance</t>
  </si>
  <si>
    <t xml:space="preserve">        Repairs and Maintenance - Other</t>
  </si>
  <si>
    <t xml:space="preserve">        Repairs and Maintenance - Building and</t>
  </si>
  <si>
    <t xml:space="preserve">                     Other Structures</t>
  </si>
  <si>
    <t xml:space="preserve">        Animal/Zoological Supplies Expenses</t>
  </si>
  <si>
    <t>5-02-03-040</t>
  </si>
  <si>
    <t xml:space="preserve">        Agricultural and Marine Supplies Expenses</t>
  </si>
  <si>
    <t>5-02-03-100</t>
  </si>
  <si>
    <t>RALPH RYAN H. RAFAEL</t>
  </si>
  <si>
    <t xml:space="preserve">      Motor Vehicles</t>
  </si>
  <si>
    <t xml:space="preserve">        Drugs and Medicines Expenses</t>
  </si>
  <si>
    <t>Current Year 2023 (Estimate)</t>
  </si>
  <si>
    <t>Annex E</t>
  </si>
  <si>
    <t>SB Secretary</t>
  </si>
  <si>
    <t>MGSO</t>
  </si>
  <si>
    <t>OFFICE:  Office of the Municipal Social Welfare &amp; Development Officer</t>
  </si>
  <si>
    <t xml:space="preserve">                   Support to Local Economic Development &amp;</t>
  </si>
  <si>
    <t>Investment Promotion Program</t>
  </si>
  <si>
    <t xml:space="preserve">        Repair &amp; Maint.- Transportation Equipt.</t>
  </si>
  <si>
    <t xml:space="preserve">        Rep. &amp; Maint.-Transportration Equipt.</t>
  </si>
  <si>
    <t xml:space="preserve">        Repair &amp; Maint.-Machinery &amp; Equipment</t>
  </si>
  <si>
    <t xml:space="preserve">        Repair &amp; Maintenance- Transportation</t>
  </si>
  <si>
    <t xml:space="preserve">                                 Equipment</t>
  </si>
  <si>
    <t>SWO III/OIC-MSWDO</t>
  </si>
  <si>
    <t>JESSICA B. PARREÑAS</t>
  </si>
  <si>
    <t>CLAIRE JOY L. FAELDONIA, RSW</t>
  </si>
  <si>
    <t>FDPP Form 1a - Annual Budget Report, by Office of Department</t>
  </si>
  <si>
    <t>(DBM Local Budget Memorandum No.82 dated June 14, 2021, LBP Form No. 2)</t>
  </si>
  <si>
    <t>Note: This Form is to be filled-up or prepared by Office or by Department separately. Thus, the Annual Budget shall be composed of separate sheets of this form per Office or Department.  In addition, Form 1b - ABR, Summary must also be filled-up and submitted.</t>
  </si>
  <si>
    <t>PROGRAMMED APPROPRIATION AND OBLIGATION BY OBJECT OF EXPENDITURE</t>
  </si>
  <si>
    <t>REGION:</t>
  </si>
  <si>
    <t>REGION XII - SOCCSSARGEN</t>
  </si>
  <si>
    <t>CALENDAR YEAR:</t>
  </si>
  <si>
    <t>PROVINCE:</t>
  </si>
  <si>
    <t>COTABATO (NORTH COTABATO)</t>
  </si>
  <si>
    <t>OFFICE:</t>
  </si>
  <si>
    <t>CITY/MUNICIPALITY:</t>
  </si>
  <si>
    <t>MATALAM</t>
  </si>
  <si>
    <t>OFFICE:  Office of the Municipal Health Officer</t>
  </si>
  <si>
    <t>OFFICE: Office of the Municipal Engineer</t>
  </si>
  <si>
    <t>OFFICE: Office of the Municipal Accountant</t>
  </si>
  <si>
    <t>OFFICE: Office of the Municipal Civil Registrar</t>
  </si>
  <si>
    <t>Office of the Municipal Treasurer</t>
  </si>
  <si>
    <t>Office of the MPDC</t>
  </si>
  <si>
    <t>Office of the Sangguniang Bayan</t>
  </si>
  <si>
    <t>OFFICE:  Office of the Municipal Mayor</t>
  </si>
  <si>
    <t>OFFICE: Office of the Secretary to the Sangguniang Bayan</t>
  </si>
  <si>
    <t>Office of the Municipal Vice Mayor</t>
  </si>
  <si>
    <t>OFFICE: Office of the Municipal Agriculturist</t>
  </si>
  <si>
    <t>Office of the Municipal General Services Officer</t>
  </si>
  <si>
    <t>OFFICE:  Office of the Municipal Disaster Risk Reduction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</si>
</sst>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1" formatCode="_(* #,##0.00_);_(* \(#,##0.00\);_(* &quot;-&quot;??_);_(@_)"/>
    <numFmt numFmtId="178" formatCode="_(* #,##0.000_);_(* \(#,##0.000\);_(* &quot;-&quot;??_);_(@_)"/>
    <numFmt numFmtId="190" formatCode="#,##0.00_ ;\-#,##0.00\ "/>
  </numFmts>
  <fonts count="5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56"/>
      <name val="Candara"/>
      <family val="2"/>
    </font>
    <font>
      <i/>
      <sz val="9.5"/>
      <color indexed="56"/>
      <name val="Candara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2060"/>
      <name val="Candara"/>
      <family val="2"/>
    </font>
    <font>
      <b/>
      <sz val="10"/>
      <color rgb="FF002060"/>
      <name val="Candara"/>
      <family val="2"/>
    </font>
    <font>
      <sz val="10"/>
      <color rgb="FF002060"/>
      <name val="Arial Narrow"/>
      <family val="2"/>
    </font>
    <font>
      <sz val="10"/>
      <color rgb="FF002060"/>
      <name val="Candara"/>
      <family val="2"/>
    </font>
    <font>
      <sz val="8.5"/>
      <color rgb="FF002060"/>
      <name val="Arial Narrow"/>
      <family val="2"/>
    </font>
    <font>
      <b/>
      <sz val="10"/>
      <color rgb="FF002060"/>
      <name val="Arial Narrow"/>
      <family val="2"/>
    </font>
    <font>
      <b/>
      <i/>
      <sz val="10"/>
      <color rgb="FF002060"/>
      <name val="Candara"/>
      <family val="2"/>
    </font>
    <font>
      <i/>
      <sz val="10"/>
      <color rgb="FF002060"/>
      <name val="Candara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Candara"/>
      <family val="2"/>
    </font>
    <font>
      <b/>
      <sz val="8.5"/>
      <color rgb="FF002060"/>
      <name val="Arial Narrow"/>
      <family val="2"/>
    </font>
    <font>
      <b/>
      <sz val="11"/>
      <color rgb="FF002060"/>
      <name val="Book Antiqua"/>
      <family val="1"/>
    </font>
    <font>
      <sz val="11"/>
      <color rgb="FF002060"/>
      <name val="Book Antiqua"/>
      <family val="1"/>
    </font>
    <font>
      <b/>
      <sz val="9.5"/>
      <color rgb="FF002060"/>
      <name val="Arial Narrow"/>
      <family val="2"/>
    </font>
    <font>
      <sz val="9.5"/>
      <color rgb="FF002060"/>
      <name val="Arial Narrow"/>
      <family val="2"/>
    </font>
    <font>
      <sz val="9.5"/>
      <color rgb="FF002060"/>
      <name val="Candara"/>
      <family val="2"/>
    </font>
    <font>
      <sz val="8.5"/>
      <color rgb="FF002060"/>
      <name val="Arial"/>
      <family val="2"/>
    </font>
    <font>
      <sz val="8"/>
      <color rgb="FF002060"/>
      <name val="Arial Narrow"/>
      <family val="2"/>
    </font>
    <font>
      <b/>
      <sz val="9.5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andara"/>
      <family val="2"/>
    </font>
    <font>
      <sz val="9.5"/>
      <color rgb="FF002060"/>
      <name val="Arial"/>
      <family val="2"/>
    </font>
    <font>
      <b/>
      <sz val="8"/>
      <color rgb="FF002060"/>
      <name val="Candara"/>
      <family val="2"/>
    </font>
    <font>
      <sz val="9"/>
      <color rgb="FF002060"/>
      <name val="Arial Narrow"/>
      <family val="2"/>
    </font>
    <font>
      <sz val="8"/>
      <color rgb="FF002060"/>
      <name val="Candara"/>
      <family val="2"/>
    </font>
    <font>
      <sz val="8"/>
      <color rgb="FF002060"/>
      <name val="Arial"/>
      <family val="2"/>
    </font>
    <font>
      <b/>
      <sz val="12"/>
      <color rgb="FF002060"/>
      <name val="Candara"/>
      <family val="2"/>
    </font>
    <font>
      <sz val="9"/>
      <color rgb="FF002060"/>
      <name val="Candara"/>
      <family val="2"/>
    </font>
    <font>
      <sz val="8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2060"/>
      <name val="Georgia"/>
      <family val="1"/>
    </font>
    <font>
      <b/>
      <sz val="12"/>
      <color rgb="FF002060"/>
      <name val="Book Antiqua"/>
      <family val="1"/>
    </font>
    <font>
      <b/>
      <sz val="10"/>
      <color rgb="FF000000"/>
      <name val="Calibri"/>
      <family val="2"/>
    </font>
    <font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rgb="FF002060"/>
      </right>
      <top/>
      <bottom style="thin">
        <color rgb="FF002060"/>
      </bottom>
      <diagonal/>
    </border>
    <border>
      <left style="medium">
        <color indexed="64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rgb="FF002060"/>
      </right>
      <top style="thin">
        <color rgb="FF002060"/>
      </top>
      <bottom/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/>
      <right style="medium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</cellStyleXfs>
  <cellXfs count="545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1" fontId="1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1" fontId="15" fillId="0" borderId="0" xfId="0" applyNumberFormat="1" applyFont="1" applyBorder="1" applyAlignment="1">
      <alignment vertical="center"/>
    </xf>
    <xf numFmtId="171" fontId="15" fillId="0" borderId="0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quotePrefix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171" fontId="15" fillId="0" borderId="0" xfId="1" applyNumberFormat="1" applyFont="1" applyBorder="1" applyAlignment="1">
      <alignment vertical="center"/>
    </xf>
    <xf numFmtId="171" fontId="12" fillId="0" borderId="0" xfId="1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5" xfId="0" quotePrefix="1" applyFont="1" applyBorder="1" applyAlignment="1">
      <alignment horizontal="center" vertical="center"/>
    </xf>
    <xf numFmtId="171" fontId="12" fillId="0" borderId="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71" fontId="12" fillId="0" borderId="0" xfId="0" applyNumberFormat="1" applyFont="1" applyAlignment="1">
      <alignment vertical="center"/>
    </xf>
    <xf numFmtId="0" fontId="19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18" fillId="0" borderId="0" xfId="0" quotePrefix="1" applyFont="1" applyBorder="1" applyAlignment="1">
      <alignment horizontal="center" vertical="center"/>
    </xf>
    <xf numFmtId="171" fontId="11" fillId="0" borderId="0" xfId="1" applyNumberFormat="1" applyFont="1" applyBorder="1" applyAlignment="1">
      <alignment vertical="center"/>
    </xf>
    <xf numFmtId="171" fontId="11" fillId="0" borderId="0" xfId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71" fontId="24" fillId="0" borderId="2" xfId="0" applyNumberFormat="1" applyFont="1" applyBorder="1" applyAlignment="1">
      <alignment vertical="center"/>
    </xf>
    <xf numFmtId="171" fontId="24" fillId="0" borderId="2" xfId="1" applyFont="1" applyBorder="1" applyAlignment="1">
      <alignment vertical="center"/>
    </xf>
    <xf numFmtId="171" fontId="24" fillId="0" borderId="2" xfId="0" applyNumberFormat="1" applyFont="1" applyBorder="1" applyAlignment="1">
      <alignment horizontal="center" vertical="center"/>
    </xf>
    <xf numFmtId="171" fontId="24" fillId="0" borderId="4" xfId="0" applyNumberFormat="1" applyFont="1" applyBorder="1" applyAlignment="1">
      <alignment vertical="center"/>
    </xf>
    <xf numFmtId="171" fontId="24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1" fontId="24" fillId="0" borderId="0" xfId="1" applyFont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vertical="center"/>
    </xf>
    <xf numFmtId="171" fontId="12" fillId="0" borderId="0" xfId="1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24" fillId="0" borderId="7" xfId="0" applyNumberFormat="1" applyFont="1" applyBorder="1" applyAlignment="1">
      <alignment vertical="center"/>
    </xf>
    <xf numFmtId="171" fontId="24" fillId="0" borderId="7" xfId="1" applyFont="1" applyBorder="1" applyAlignment="1">
      <alignment vertical="center"/>
    </xf>
    <xf numFmtId="171" fontId="24" fillId="0" borderId="4" xfId="1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71" fontId="24" fillId="0" borderId="1" xfId="0" applyNumberFormat="1" applyFont="1" applyBorder="1" applyAlignment="1">
      <alignment vertical="center"/>
    </xf>
    <xf numFmtId="0" fontId="13" fillId="0" borderId="0" xfId="0" applyFont="1" applyAlignment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171" fontId="24" fillId="0" borderId="7" xfId="1" applyFont="1" applyBorder="1" applyAlignment="1">
      <alignment horizontal="center" vertical="center"/>
    </xf>
    <xf numFmtId="171" fontId="24" fillId="0" borderId="2" xfId="1" applyFont="1" applyBorder="1" applyAlignment="1">
      <alignment horizontal="center" vertical="center"/>
    </xf>
    <xf numFmtId="171" fontId="24" fillId="0" borderId="4" xfId="1" applyFont="1" applyBorder="1" applyAlignment="1">
      <alignment horizontal="center" vertical="center"/>
    </xf>
    <xf numFmtId="171" fontId="24" fillId="0" borderId="7" xfId="0" applyNumberFormat="1" applyFont="1" applyBorder="1" applyAlignment="1">
      <alignment horizontal="center" vertical="center"/>
    </xf>
    <xf numFmtId="171" fontId="24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71" fontId="24" fillId="0" borderId="7" xfId="1" applyNumberFormat="1" applyFont="1" applyBorder="1" applyAlignment="1">
      <alignment horizontal="right" vertical="center"/>
    </xf>
    <xf numFmtId="171" fontId="24" fillId="0" borderId="2" xfId="1" applyNumberFormat="1" applyFont="1" applyBorder="1" applyAlignment="1">
      <alignment horizontal="right" vertical="center"/>
    </xf>
    <xf numFmtId="171" fontId="24" fillId="0" borderId="0" xfId="1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71" fontId="24" fillId="0" borderId="2" xfId="1" applyNumberFormat="1" applyFont="1" applyFill="1" applyBorder="1" applyAlignment="1">
      <alignment horizontal="center" vertical="center"/>
    </xf>
    <xf numFmtId="171" fontId="24" fillId="0" borderId="4" xfId="1" applyNumberFormat="1" applyFont="1" applyFill="1" applyBorder="1" applyAlignment="1">
      <alignment horizontal="center" vertical="center"/>
    </xf>
    <xf numFmtId="171" fontId="24" fillId="0" borderId="2" xfId="1" applyNumberFormat="1" applyFont="1" applyBorder="1" applyAlignment="1">
      <alignment vertical="center"/>
    </xf>
    <xf numFmtId="171" fontId="24" fillId="0" borderId="0" xfId="1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71" fontId="28" fillId="0" borderId="0" xfId="1" applyFont="1" applyBorder="1" applyAlignment="1">
      <alignment vertical="center"/>
    </xf>
    <xf numFmtId="0" fontId="13" fillId="0" borderId="0" xfId="0" applyFont="1" applyAlignment="1">
      <alignment vertical="center" wrapText="1"/>
    </xf>
    <xf numFmtId="171" fontId="12" fillId="0" borderId="5" xfId="1" applyFont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171" fontId="24" fillId="0" borderId="2" xfId="1" applyFont="1" applyFill="1" applyBorder="1" applyAlignment="1">
      <alignment horizontal="right" vertical="center"/>
    </xf>
    <xf numFmtId="171" fontId="24" fillId="0" borderId="4" xfId="1" applyFont="1" applyBorder="1" applyAlignment="1">
      <alignment horizontal="right" vertical="center"/>
    </xf>
    <xf numFmtId="171" fontId="24" fillId="0" borderId="2" xfId="1" applyFont="1" applyBorder="1" applyAlignment="1">
      <alignment horizontal="right" vertical="center"/>
    </xf>
    <xf numFmtId="171" fontId="24" fillId="0" borderId="1" xfId="1" applyFont="1" applyBorder="1" applyAlignment="1">
      <alignment vertical="center"/>
    </xf>
    <xf numFmtId="171" fontId="24" fillId="0" borderId="7" xfId="1" applyFont="1" applyBorder="1" applyAlignment="1">
      <alignment horizontal="right" vertical="center"/>
    </xf>
    <xf numFmtId="171" fontId="24" fillId="0" borderId="4" xfId="0" applyNumberFormat="1" applyFont="1" applyBorder="1" applyAlignment="1">
      <alignment horizontal="right" vertical="center"/>
    </xf>
    <xf numFmtId="171" fontId="24" fillId="0" borderId="2" xfId="0" applyNumberFormat="1" applyFont="1" applyBorder="1" applyAlignment="1">
      <alignment horizontal="right" vertical="center"/>
    </xf>
    <xf numFmtId="171" fontId="24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1" fontId="25" fillId="0" borderId="0" xfId="1" applyFont="1" applyBorder="1" applyAlignment="1">
      <alignment vertical="center"/>
    </xf>
    <xf numFmtId="171" fontId="29" fillId="0" borderId="2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quotePrefix="1" applyFont="1" applyBorder="1" applyAlignment="1">
      <alignment horizontal="center" vertical="center"/>
    </xf>
    <xf numFmtId="0" fontId="20" fillId="0" borderId="16" xfId="0" quotePrefix="1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0" fillId="0" borderId="18" xfId="0" quotePrefix="1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20" fillId="0" borderId="19" xfId="0" quotePrefix="1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4" fontId="12" fillId="0" borderId="20" xfId="1" applyNumberFormat="1" applyFont="1" applyBorder="1" applyAlignment="1">
      <alignment horizontal="right" vertical="center"/>
    </xf>
    <xf numFmtId="171" fontId="12" fillId="0" borderId="20" xfId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171" fontId="25" fillId="0" borderId="21" xfId="1" applyNumberFormat="1" applyFont="1" applyBorder="1" applyAlignment="1">
      <alignment vertical="center"/>
    </xf>
    <xf numFmtId="171" fontId="25" fillId="0" borderId="21" xfId="1" applyNumberFormat="1" applyFont="1" applyBorder="1" applyAlignment="1">
      <alignment horizontal="center" vertical="center"/>
    </xf>
    <xf numFmtId="171" fontId="25" fillId="0" borderId="21" xfId="1" applyFont="1" applyBorder="1" applyAlignment="1">
      <alignment horizontal="center" vertical="center"/>
    </xf>
    <xf numFmtId="171" fontId="25" fillId="0" borderId="22" xfId="1" applyFont="1" applyBorder="1" applyAlignment="1">
      <alignment vertical="center"/>
    </xf>
    <xf numFmtId="171" fontId="25" fillId="0" borderId="16" xfId="1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171" fontId="25" fillId="0" borderId="22" xfId="1" applyFont="1" applyBorder="1" applyAlignment="1">
      <alignment horizontal="center" vertical="center"/>
    </xf>
    <xf numFmtId="171" fontId="25" fillId="0" borderId="23" xfId="1" applyFont="1" applyBorder="1" applyAlignment="1">
      <alignment horizontal="center" vertical="center"/>
    </xf>
    <xf numFmtId="171" fontId="12" fillId="0" borderId="24" xfId="1" applyFont="1" applyBorder="1" applyAlignment="1">
      <alignment horizontal="right" vertical="center"/>
    </xf>
    <xf numFmtId="0" fontId="33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171" fontId="25" fillId="0" borderId="28" xfId="1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16" fillId="0" borderId="17" xfId="0" applyFont="1" applyBorder="1" applyAlignment="1">
      <alignment vertical="center"/>
    </xf>
    <xf numFmtId="171" fontId="25" fillId="0" borderId="29" xfId="1" applyFont="1" applyBorder="1" applyAlignment="1">
      <alignment vertical="center"/>
    </xf>
    <xf numFmtId="171" fontId="25" fillId="0" borderId="29" xfId="1" applyFont="1" applyBorder="1" applyAlignment="1">
      <alignment horizontal="center" vertical="center"/>
    </xf>
    <xf numFmtId="171" fontId="25" fillId="0" borderId="29" xfId="1" applyNumberFormat="1" applyFont="1" applyBorder="1" applyAlignment="1">
      <alignment horizontal="right" vertical="center"/>
    </xf>
    <xf numFmtId="171" fontId="25" fillId="0" borderId="3" xfId="1" applyFont="1" applyBorder="1" applyAlignment="1">
      <alignment horizontal="center" vertical="center"/>
    </xf>
    <xf numFmtId="171" fontId="25" fillId="0" borderId="30" xfId="1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171" fontId="25" fillId="0" borderId="29" xfId="1" applyNumberFormat="1" applyFont="1" applyBorder="1" applyAlignment="1">
      <alignment vertical="center"/>
    </xf>
    <xf numFmtId="171" fontId="25" fillId="0" borderId="29" xfId="1" applyNumberFormat="1" applyFont="1" applyBorder="1" applyAlignment="1">
      <alignment horizontal="center" vertical="center"/>
    </xf>
    <xf numFmtId="171" fontId="25" fillId="0" borderId="3" xfId="1" applyFont="1" applyBorder="1" applyAlignment="1">
      <alignment vertical="center"/>
    </xf>
    <xf numFmtId="171" fontId="25" fillId="0" borderId="5" xfId="1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71" fontId="25" fillId="0" borderId="29" xfId="0" applyNumberFormat="1" applyFont="1" applyBorder="1" applyAlignment="1">
      <alignment horizontal="center" vertical="center"/>
    </xf>
    <xf numFmtId="171" fontId="25" fillId="0" borderId="3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quotePrefix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4" fillId="0" borderId="31" xfId="0" quotePrefix="1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171" fontId="25" fillId="0" borderId="21" xfId="1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20" fillId="0" borderId="27" xfId="0" quotePrefix="1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171" fontId="25" fillId="0" borderId="28" xfId="1" applyFont="1" applyBorder="1" applyAlignment="1">
      <alignment horizontal="center" vertical="center"/>
    </xf>
    <xf numFmtId="171" fontId="25" fillId="0" borderId="31" xfId="1" applyFont="1" applyBorder="1" applyAlignment="1">
      <alignment vertical="center"/>
    </xf>
    <xf numFmtId="0" fontId="32" fillId="0" borderId="28" xfId="0" applyFont="1" applyBorder="1" applyAlignment="1">
      <alignment vertical="center"/>
    </xf>
    <xf numFmtId="171" fontId="25" fillId="0" borderId="28" xfId="1" applyNumberFormat="1" applyFont="1" applyBorder="1" applyAlignment="1">
      <alignment horizontal="right" vertical="center"/>
    </xf>
    <xf numFmtId="171" fontId="25" fillId="0" borderId="28" xfId="1" applyNumberFormat="1" applyFont="1" applyBorder="1" applyAlignment="1">
      <alignment vertical="center"/>
    </xf>
    <xf numFmtId="171" fontId="25" fillId="0" borderId="28" xfId="0" applyNumberFormat="1" applyFont="1" applyBorder="1" applyAlignment="1">
      <alignment horizontal="center" vertical="center"/>
    </xf>
    <xf numFmtId="171" fontId="25" fillId="0" borderId="28" xfId="1" applyNumberFormat="1" applyFont="1" applyBorder="1" applyAlignment="1">
      <alignment horizontal="center" vertical="center"/>
    </xf>
    <xf numFmtId="171" fontId="25" fillId="0" borderId="31" xfId="1" applyFont="1" applyBorder="1" applyAlignment="1">
      <alignment horizontal="center" vertical="center"/>
    </xf>
    <xf numFmtId="171" fontId="25" fillId="0" borderId="6" xfId="1" applyFont="1" applyBorder="1" applyAlignment="1">
      <alignment horizontal="center" vertical="center"/>
    </xf>
    <xf numFmtId="171" fontId="25" fillId="0" borderId="11" xfId="1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171" fontId="24" fillId="0" borderId="7" xfId="0" applyNumberFormat="1" applyFont="1" applyBorder="1" applyAlignment="1">
      <alignment horizontal="right" vertical="center"/>
    </xf>
    <xf numFmtId="171" fontId="32" fillId="0" borderId="16" xfId="0" applyNumberFormat="1" applyFont="1" applyBorder="1" applyAlignment="1">
      <alignment vertical="center"/>
    </xf>
    <xf numFmtId="171" fontId="25" fillId="0" borderId="21" xfId="1" applyNumberFormat="1" applyFont="1" applyBorder="1" applyAlignment="1">
      <alignment horizontal="right" vertical="center"/>
    </xf>
    <xf numFmtId="171" fontId="25" fillId="0" borderId="22" xfId="1" applyNumberFormat="1" applyFont="1" applyBorder="1" applyAlignment="1">
      <alignment horizontal="right" vertical="center"/>
    </xf>
    <xf numFmtId="171" fontId="24" fillId="0" borderId="4" xfId="1" applyNumberFormat="1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171" fontId="32" fillId="0" borderId="27" xfId="0" applyNumberFormat="1" applyFont="1" applyBorder="1" applyAlignment="1">
      <alignment vertical="center"/>
    </xf>
    <xf numFmtId="171" fontId="25" fillId="0" borderId="31" xfId="1" applyNumberFormat="1" applyFont="1" applyBorder="1" applyAlignment="1">
      <alignment horizontal="right" vertical="center"/>
    </xf>
    <xf numFmtId="171" fontId="25" fillId="0" borderId="27" xfId="0" applyNumberFormat="1" applyFont="1" applyBorder="1" applyAlignment="1">
      <alignment vertical="center"/>
    </xf>
    <xf numFmtId="171" fontId="25" fillId="0" borderId="27" xfId="1" applyNumberFormat="1" applyFont="1" applyBorder="1" applyAlignment="1">
      <alignment horizontal="right" vertical="center"/>
    </xf>
    <xf numFmtId="171" fontId="25" fillId="0" borderId="28" xfId="0" applyNumberFormat="1" applyFont="1" applyBorder="1" applyAlignment="1">
      <alignment vertical="center"/>
    </xf>
    <xf numFmtId="171" fontId="32" fillId="0" borderId="28" xfId="0" applyNumberFormat="1" applyFont="1" applyBorder="1" applyAlignment="1">
      <alignment horizontal="center" vertical="center"/>
    </xf>
    <xf numFmtId="171" fontId="25" fillId="0" borderId="32" xfId="1" applyNumberFormat="1" applyFont="1" applyBorder="1" applyAlignment="1">
      <alignment horizontal="right" vertical="center"/>
    </xf>
    <xf numFmtId="171" fontId="25" fillId="0" borderId="29" xfId="0" applyNumberFormat="1" applyFont="1" applyBorder="1" applyAlignment="1">
      <alignment horizontal="right" vertical="center"/>
    </xf>
    <xf numFmtId="171" fontId="25" fillId="0" borderId="5" xfId="0" applyNumberFormat="1" applyFont="1" applyBorder="1" applyAlignment="1">
      <alignment vertical="center"/>
    </xf>
    <xf numFmtId="171" fontId="25" fillId="0" borderId="3" xfId="1" applyNumberFormat="1" applyFont="1" applyBorder="1" applyAlignment="1">
      <alignment horizontal="right" vertical="center"/>
    </xf>
    <xf numFmtId="171" fontId="25" fillId="0" borderId="5" xfId="1" applyNumberFormat="1" applyFont="1" applyBorder="1" applyAlignment="1">
      <alignment horizontal="right" vertical="center"/>
    </xf>
    <xf numFmtId="171" fontId="25" fillId="0" borderId="30" xfId="1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71" fontId="12" fillId="0" borderId="14" xfId="1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0" fillId="0" borderId="0" xfId="0" quotePrefix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171" fontId="12" fillId="0" borderId="26" xfId="1" applyNumberFormat="1" applyFont="1" applyFill="1" applyBorder="1" applyAlignment="1">
      <alignment vertical="center"/>
    </xf>
    <xf numFmtId="171" fontId="25" fillId="0" borderId="28" xfId="1" applyFont="1" applyFill="1" applyBorder="1" applyAlignment="1">
      <alignment vertical="center"/>
    </xf>
    <xf numFmtId="171" fontId="25" fillId="0" borderId="28" xfId="1" applyFont="1" applyFill="1" applyBorder="1" applyAlignment="1">
      <alignment horizontal="center" vertical="center"/>
    </xf>
    <xf numFmtId="171" fontId="25" fillId="0" borderId="31" xfId="1" applyFont="1" applyFill="1" applyBorder="1" applyAlignment="1">
      <alignment horizontal="center" vertical="center"/>
    </xf>
    <xf numFmtId="171" fontId="12" fillId="0" borderId="27" xfId="1" applyFont="1" applyFill="1" applyBorder="1" applyAlignment="1">
      <alignment vertical="center"/>
    </xf>
    <xf numFmtId="171" fontId="25" fillId="0" borderId="28" xfId="1" applyNumberFormat="1" applyFont="1" applyFill="1" applyBorder="1" applyAlignment="1">
      <alignment horizontal="center" vertical="center"/>
    </xf>
    <xf numFmtId="171" fontId="25" fillId="0" borderId="31" xfId="1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171" fontId="25" fillId="0" borderId="29" xfId="1" applyFont="1" applyFill="1" applyBorder="1" applyAlignment="1">
      <alignment vertical="center"/>
    </xf>
    <xf numFmtId="171" fontId="25" fillId="0" borderId="29" xfId="1" applyFont="1" applyFill="1" applyBorder="1" applyAlignment="1">
      <alignment horizontal="center" vertical="center"/>
    </xf>
    <xf numFmtId="171" fontId="25" fillId="0" borderId="3" xfId="1" applyFont="1" applyFill="1" applyBorder="1" applyAlignment="1">
      <alignment horizontal="center" vertical="center"/>
    </xf>
    <xf numFmtId="171" fontId="12" fillId="0" borderId="5" xfId="1" applyFont="1" applyFill="1" applyBorder="1" applyAlignment="1">
      <alignment vertical="center"/>
    </xf>
    <xf numFmtId="171" fontId="25" fillId="0" borderId="29" xfId="1" applyNumberFormat="1" applyFont="1" applyFill="1" applyBorder="1" applyAlignment="1">
      <alignment vertical="center"/>
    </xf>
    <xf numFmtId="171" fontId="25" fillId="0" borderId="29" xfId="1" applyNumberFormat="1" applyFont="1" applyFill="1" applyBorder="1" applyAlignment="1">
      <alignment horizontal="center" vertical="center"/>
    </xf>
    <xf numFmtId="171" fontId="25" fillId="0" borderId="3" xfId="1" applyFont="1" applyFill="1" applyBorder="1" applyAlignment="1">
      <alignment vertical="center"/>
    </xf>
    <xf numFmtId="171" fontId="12" fillId="0" borderId="20" xfId="1" applyFont="1" applyFill="1" applyBorder="1" applyAlignment="1">
      <alignment horizontal="right" vertical="center"/>
    </xf>
    <xf numFmtId="171" fontId="12" fillId="0" borderId="24" xfId="1" applyFont="1" applyFill="1" applyBorder="1" applyAlignment="1">
      <alignment horizontal="right" vertical="center"/>
    </xf>
    <xf numFmtId="171" fontId="12" fillId="0" borderId="16" xfId="1" applyFont="1" applyFill="1" applyBorder="1" applyAlignment="1">
      <alignment vertical="center"/>
    </xf>
    <xf numFmtId="171" fontId="25" fillId="0" borderId="21" xfId="1" applyFont="1" applyFill="1" applyBorder="1" applyAlignment="1">
      <alignment vertical="center"/>
    </xf>
    <xf numFmtId="171" fontId="25" fillId="0" borderId="21" xfId="1" applyNumberFormat="1" applyFont="1" applyFill="1" applyBorder="1" applyAlignment="1">
      <alignment horizontal="center" vertical="center"/>
    </xf>
    <xf numFmtId="171" fontId="25" fillId="0" borderId="21" xfId="1" applyFont="1" applyFill="1" applyBorder="1" applyAlignment="1">
      <alignment horizontal="center" vertical="center"/>
    </xf>
    <xf numFmtId="171" fontId="25" fillId="0" borderId="34" xfId="1" applyFont="1" applyFill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12" fillId="0" borderId="17" xfId="0" applyFont="1" applyFill="1" applyBorder="1" applyAlignment="1">
      <alignment vertical="center"/>
    </xf>
    <xf numFmtId="171" fontId="12" fillId="0" borderId="17" xfId="1" applyNumberFormat="1" applyFont="1" applyFill="1" applyBorder="1" applyAlignment="1">
      <alignment vertical="center"/>
    </xf>
    <xf numFmtId="171" fontId="25" fillId="0" borderId="23" xfId="1" applyFont="1" applyFill="1" applyBorder="1" applyAlignment="1">
      <alignment vertical="center"/>
    </xf>
    <xf numFmtId="171" fontId="12" fillId="0" borderId="35" xfId="1" applyFont="1" applyFill="1" applyBorder="1" applyAlignment="1">
      <alignment horizontal="right" vertical="center"/>
    </xf>
    <xf numFmtId="171" fontId="12" fillId="0" borderId="36" xfId="1" applyFont="1" applyFill="1" applyBorder="1" applyAlignment="1">
      <alignment horizontal="right" vertical="center"/>
    </xf>
    <xf numFmtId="171" fontId="12" fillId="0" borderId="15" xfId="1" applyFont="1" applyFill="1" applyBorder="1" applyAlignment="1">
      <alignment vertical="center"/>
    </xf>
    <xf numFmtId="171" fontId="25" fillId="0" borderId="37" xfId="1" applyFont="1" applyFill="1" applyBorder="1" applyAlignment="1">
      <alignment vertical="center"/>
    </xf>
    <xf numFmtId="171" fontId="25" fillId="0" borderId="32" xfId="1" applyFont="1" applyFill="1" applyBorder="1" applyAlignment="1">
      <alignment vertical="center"/>
    </xf>
    <xf numFmtId="171" fontId="12" fillId="0" borderId="0" xfId="1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171" fontId="24" fillId="0" borderId="5" xfId="1" applyNumberFormat="1" applyFont="1" applyBorder="1" applyAlignment="1">
      <alignment horizontal="center" vertical="center"/>
    </xf>
    <xf numFmtId="171" fontId="25" fillId="0" borderId="3" xfId="1" applyNumberFormat="1" applyFont="1" applyBorder="1" applyAlignment="1">
      <alignment vertical="center"/>
    </xf>
    <xf numFmtId="171" fontId="25" fillId="0" borderId="5" xfId="1" applyNumberFormat="1" applyFont="1" applyBorder="1" applyAlignment="1">
      <alignment vertical="center"/>
    </xf>
    <xf numFmtId="171" fontId="24" fillId="0" borderId="27" xfId="1" applyNumberFormat="1" applyFont="1" applyBorder="1" applyAlignment="1">
      <alignment horizontal="center" vertical="center"/>
    </xf>
    <xf numFmtId="171" fontId="25" fillId="0" borderId="31" xfId="1" applyNumberFormat="1" applyFont="1" applyBorder="1" applyAlignment="1">
      <alignment vertical="center"/>
    </xf>
    <xf numFmtId="171" fontId="25" fillId="0" borderId="27" xfId="1" applyNumberFormat="1" applyFont="1" applyBorder="1" applyAlignment="1">
      <alignment vertical="center"/>
    </xf>
    <xf numFmtId="171" fontId="12" fillId="0" borderId="28" xfId="1" applyFont="1" applyBorder="1" applyAlignment="1">
      <alignment vertical="center"/>
    </xf>
    <xf numFmtId="171" fontId="24" fillId="0" borderId="25" xfId="1" applyNumberFormat="1" applyFont="1" applyBorder="1" applyAlignment="1">
      <alignment horizontal="center" vertical="center"/>
    </xf>
    <xf numFmtId="171" fontId="12" fillId="0" borderId="20" xfId="1" applyFont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171" fontId="12" fillId="0" borderId="35" xfId="1" applyFont="1" applyBorder="1" applyAlignment="1">
      <alignment horizontal="right" vertical="center"/>
    </xf>
    <xf numFmtId="171" fontId="12" fillId="0" borderId="36" xfId="1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171" fontId="25" fillId="0" borderId="28" xfId="1" applyFont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" fontId="12" fillId="0" borderId="14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1" fontId="25" fillId="0" borderId="34" xfId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171" fontId="25" fillId="0" borderId="32" xfId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71" fontId="32" fillId="0" borderId="5" xfId="1" applyFont="1" applyBorder="1" applyAlignment="1">
      <alignment horizontal="center" vertical="center"/>
    </xf>
    <xf numFmtId="171" fontId="15" fillId="0" borderId="39" xfId="1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171" fontId="25" fillId="0" borderId="27" xfId="1" applyFont="1" applyBorder="1" applyAlignment="1">
      <alignment vertical="center"/>
    </xf>
    <xf numFmtId="178" fontId="25" fillId="0" borderId="29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171" fontId="25" fillId="0" borderId="29" xfId="0" applyNumberFormat="1" applyFont="1" applyBorder="1" applyAlignment="1">
      <alignment vertical="center"/>
    </xf>
    <xf numFmtId="171" fontId="25" fillId="0" borderId="3" xfId="1" applyNumberFormat="1" applyFont="1" applyBorder="1" applyAlignment="1">
      <alignment horizontal="center" vertical="center"/>
    </xf>
    <xf numFmtId="0" fontId="25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171" fontId="25" fillId="0" borderId="31" xfId="1" applyNumberFormat="1" applyFont="1" applyBorder="1" applyAlignment="1">
      <alignment horizontal="center" vertical="center"/>
    </xf>
    <xf numFmtId="171" fontId="25" fillId="0" borderId="21" xfId="1" applyFont="1" applyBorder="1" applyAlignment="1">
      <alignment horizontal="right" vertical="center"/>
    </xf>
    <xf numFmtId="171" fontId="25" fillId="0" borderId="22" xfId="1" applyFont="1" applyBorder="1" applyAlignment="1">
      <alignment horizontal="right" vertical="center"/>
    </xf>
    <xf numFmtId="171" fontId="25" fillId="0" borderId="20" xfId="1" applyFont="1" applyBorder="1" applyAlignment="1">
      <alignment horizontal="right" vertical="center"/>
    </xf>
    <xf numFmtId="171" fontId="24" fillId="0" borderId="24" xfId="1" applyFont="1" applyBorder="1" applyAlignment="1">
      <alignment horizontal="right" vertical="center"/>
    </xf>
    <xf numFmtId="0" fontId="25" fillId="0" borderId="16" xfId="0" applyFont="1" applyBorder="1" applyAlignment="1">
      <alignment vertical="center"/>
    </xf>
    <xf numFmtId="171" fontId="25" fillId="0" borderId="21" xfId="0" applyNumberFormat="1" applyFont="1" applyBorder="1" applyAlignment="1">
      <alignment horizontal="center" vertical="center"/>
    </xf>
    <xf numFmtId="171" fontId="25" fillId="0" borderId="22" xfId="1" applyNumberFormat="1" applyFont="1" applyBorder="1" applyAlignment="1">
      <alignment vertical="center"/>
    </xf>
    <xf numFmtId="171" fontId="12" fillId="0" borderId="32" xfId="1" applyFont="1" applyBorder="1" applyAlignment="1">
      <alignment horizontal="right" vertical="center"/>
    </xf>
    <xf numFmtId="171" fontId="15" fillId="0" borderId="24" xfId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171" fontId="26" fillId="0" borderId="17" xfId="1" applyNumberFormat="1" applyFont="1" applyBorder="1" applyAlignment="1">
      <alignment vertical="center"/>
    </xf>
    <xf numFmtId="4" fontId="12" fillId="0" borderId="20" xfId="1" quotePrefix="1" applyNumberFormat="1" applyFont="1" applyBorder="1" applyAlignment="1">
      <alignment horizontal="right" vertical="center"/>
    </xf>
    <xf numFmtId="171" fontId="25" fillId="0" borderId="16" xfId="1" applyNumberFormat="1" applyFont="1" applyBorder="1" applyAlignment="1">
      <alignment horizontal="center" vertical="center"/>
    </xf>
    <xf numFmtId="171" fontId="25" fillId="0" borderId="22" xfId="1" applyNumberFormat="1" applyFont="1" applyBorder="1" applyAlignment="1">
      <alignment horizontal="center" vertical="center"/>
    </xf>
    <xf numFmtId="171" fontId="25" fillId="0" borderId="27" xfId="1" applyNumberFormat="1" applyFont="1" applyBorder="1" applyAlignment="1">
      <alignment horizontal="center" vertical="center"/>
    </xf>
    <xf numFmtId="171" fontId="25" fillId="0" borderId="5" xfId="1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vertical="center"/>
    </xf>
    <xf numFmtId="4" fontId="25" fillId="0" borderId="20" xfId="1" applyNumberFormat="1" applyFont="1" applyBorder="1" applyAlignment="1">
      <alignment vertical="center"/>
    </xf>
    <xf numFmtId="4" fontId="12" fillId="0" borderId="16" xfId="0" applyNumberFormat="1" applyFont="1" applyBorder="1" applyAlignment="1">
      <alignment vertical="center"/>
    </xf>
    <xf numFmtId="171" fontId="25" fillId="0" borderId="21" xfId="0" applyNumberFormat="1" applyFont="1" applyBorder="1" applyAlignment="1">
      <alignment horizontal="right" vertical="center"/>
    </xf>
    <xf numFmtId="4" fontId="25" fillId="0" borderId="16" xfId="0" applyNumberFormat="1" applyFont="1" applyBorder="1" applyAlignment="1">
      <alignment horizontal="right" vertical="center"/>
    </xf>
    <xf numFmtId="171" fontId="25" fillId="0" borderId="34" xfId="1" applyNumberFormat="1" applyFont="1" applyBorder="1" applyAlignment="1">
      <alignment horizontal="center" vertical="center"/>
    </xf>
    <xf numFmtId="171" fontId="25" fillId="0" borderId="5" xfId="1" applyFont="1" applyBorder="1" applyAlignment="1">
      <alignment horizontal="right" vertical="center"/>
    </xf>
    <xf numFmtId="171" fontId="25" fillId="0" borderId="30" xfId="1" applyFont="1" applyBorder="1" applyAlignment="1">
      <alignment vertical="center"/>
    </xf>
    <xf numFmtId="171" fontId="12" fillId="0" borderId="27" xfId="1" applyFont="1" applyBorder="1" applyAlignment="1">
      <alignment horizontal="center" vertical="center"/>
    </xf>
    <xf numFmtId="171" fontId="12" fillId="0" borderId="5" xfId="1" applyFont="1" applyBorder="1" applyAlignment="1">
      <alignment horizontal="center" vertical="center"/>
    </xf>
    <xf numFmtId="0" fontId="18" fillId="0" borderId="14" xfId="0" quotePrefix="1" applyFont="1" applyBorder="1" applyAlignment="1">
      <alignment horizontal="center" vertical="center"/>
    </xf>
    <xf numFmtId="171" fontId="25" fillId="0" borderId="16" xfId="0" applyNumberFormat="1" applyFont="1" applyBorder="1" applyAlignment="1">
      <alignment vertical="center"/>
    </xf>
    <xf numFmtId="171" fontId="25" fillId="0" borderId="22" xfId="0" applyNumberFormat="1" applyFont="1" applyBorder="1" applyAlignment="1">
      <alignment horizontal="center" vertical="center"/>
    </xf>
    <xf numFmtId="171" fontId="25" fillId="0" borderId="21" xfId="0" applyNumberFormat="1" applyFont="1" applyBorder="1" applyAlignment="1">
      <alignment vertical="center"/>
    </xf>
    <xf numFmtId="0" fontId="18" fillId="0" borderId="26" xfId="0" quotePrefix="1" applyFont="1" applyBorder="1" applyAlignment="1">
      <alignment horizontal="center" vertical="center"/>
    </xf>
    <xf numFmtId="0" fontId="18" fillId="0" borderId="27" xfId="0" quotePrefix="1" applyFont="1" applyBorder="1" applyAlignment="1">
      <alignment horizontal="center" vertical="center"/>
    </xf>
    <xf numFmtId="171" fontId="25" fillId="0" borderId="31" xfId="0" applyNumberFormat="1" applyFont="1" applyBorder="1" applyAlignment="1">
      <alignment horizontal="center" vertical="center"/>
    </xf>
    <xf numFmtId="171" fontId="32" fillId="0" borderId="5" xfId="0" applyNumberFormat="1" applyFont="1" applyBorder="1" applyAlignment="1">
      <alignment vertical="center"/>
    </xf>
    <xf numFmtId="171" fontId="25" fillId="0" borderId="26" xfId="0" applyNumberFormat="1" applyFont="1" applyBorder="1" applyAlignment="1">
      <alignment horizontal="center" vertical="center"/>
    </xf>
    <xf numFmtId="171" fontId="25" fillId="0" borderId="31" xfId="0" applyNumberFormat="1" applyFont="1" applyBorder="1" applyAlignment="1">
      <alignment vertical="center"/>
    </xf>
    <xf numFmtId="171" fontId="25" fillId="0" borderId="0" xfId="0" applyNumberFormat="1" applyFont="1" applyBorder="1" applyAlignment="1">
      <alignment horizontal="center" vertical="center"/>
    </xf>
    <xf numFmtId="171" fontId="25" fillId="0" borderId="3" xfId="0" applyNumberFormat="1" applyFont="1" applyBorder="1" applyAlignment="1">
      <alignment vertical="center"/>
    </xf>
    <xf numFmtId="171" fontId="24" fillId="0" borderId="40" xfId="0" applyNumberFormat="1" applyFont="1" applyBorder="1" applyAlignment="1">
      <alignment vertical="center"/>
    </xf>
    <xf numFmtId="171" fontId="24" fillId="0" borderId="16" xfId="1" applyNumberFormat="1" applyFont="1" applyBorder="1" applyAlignment="1">
      <alignment vertical="center"/>
    </xf>
    <xf numFmtId="171" fontId="25" fillId="0" borderId="34" xfId="1" applyNumberFormat="1" applyFont="1" applyBorder="1" applyAlignment="1">
      <alignment vertical="center"/>
    </xf>
    <xf numFmtId="171" fontId="24" fillId="0" borderId="9" xfId="0" applyNumberFormat="1" applyFont="1" applyBorder="1" applyAlignment="1">
      <alignment vertical="center"/>
    </xf>
    <xf numFmtId="171" fontId="24" fillId="0" borderId="27" xfId="1" applyNumberFormat="1" applyFont="1" applyBorder="1" applyAlignment="1">
      <alignment vertical="center"/>
    </xf>
    <xf numFmtId="171" fontId="25" fillId="0" borderId="32" xfId="1" applyNumberFormat="1" applyFont="1" applyBorder="1" applyAlignment="1">
      <alignment vertical="center"/>
    </xf>
    <xf numFmtId="0" fontId="18" fillId="0" borderId="5" xfId="0" quotePrefix="1" applyFont="1" applyBorder="1" applyAlignment="1">
      <alignment horizontal="center" vertical="center"/>
    </xf>
    <xf numFmtId="171" fontId="24" fillId="0" borderId="5" xfId="0" applyNumberFormat="1" applyFont="1" applyBorder="1" applyAlignment="1">
      <alignment vertical="center"/>
    </xf>
    <xf numFmtId="171" fontId="24" fillId="0" borderId="41" xfId="0" applyNumberFormat="1" applyFont="1" applyBorder="1" applyAlignment="1">
      <alignment vertical="center"/>
    </xf>
    <xf numFmtId="171" fontId="25" fillId="0" borderId="27" xfId="0" applyNumberFormat="1" applyFont="1" applyBorder="1" applyAlignment="1">
      <alignment horizontal="center" vertical="center"/>
    </xf>
    <xf numFmtId="171" fontId="24" fillId="0" borderId="27" xfId="0" applyNumberFormat="1" applyFont="1" applyBorder="1" applyAlignment="1">
      <alignment horizontal="center" vertical="center"/>
    </xf>
    <xf numFmtId="171" fontId="25" fillId="0" borderId="32" xfId="0" applyNumberFormat="1" applyFont="1" applyBorder="1" applyAlignment="1">
      <alignment horizontal="center" vertical="center"/>
    </xf>
    <xf numFmtId="171" fontId="24" fillId="0" borderId="6" xfId="0" applyNumberFormat="1" applyFont="1" applyBorder="1" applyAlignment="1">
      <alignment horizontal="center" vertical="center"/>
    </xf>
    <xf numFmtId="171" fontId="25" fillId="0" borderId="5" xfId="0" applyNumberFormat="1" applyFont="1" applyBorder="1" applyAlignment="1">
      <alignment horizontal="center" vertical="center"/>
    </xf>
    <xf numFmtId="171" fontId="24" fillId="0" borderId="5" xfId="0" applyNumberFormat="1" applyFont="1" applyBorder="1" applyAlignment="1">
      <alignment horizontal="center" vertical="center"/>
    </xf>
    <xf numFmtId="171" fontId="24" fillId="0" borderId="29" xfId="0" applyNumberFormat="1" applyFont="1" applyBorder="1" applyAlignment="1">
      <alignment horizontal="center" vertical="center"/>
    </xf>
    <xf numFmtId="171" fontId="25" fillId="0" borderId="30" xfId="0" applyNumberFormat="1" applyFont="1" applyBorder="1" applyAlignment="1">
      <alignment horizontal="center" vertical="center"/>
    </xf>
    <xf numFmtId="0" fontId="27" fillId="0" borderId="26" xfId="0" quotePrefix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1" fontId="24" fillId="0" borderId="16" xfId="1" applyNumberFormat="1" applyFont="1" applyBorder="1" applyAlignment="1">
      <alignment horizontal="center" vertical="center"/>
    </xf>
    <xf numFmtId="171" fontId="12" fillId="0" borderId="21" xfId="1" applyFont="1" applyBorder="1" applyAlignment="1">
      <alignment vertical="center"/>
    </xf>
    <xf numFmtId="171" fontId="24" fillId="0" borderId="7" xfId="1" applyNumberFormat="1" applyFont="1" applyBorder="1" applyAlignment="1">
      <alignment vertical="center"/>
    </xf>
    <xf numFmtId="171" fontId="25" fillId="0" borderId="16" xfId="1" applyNumberFormat="1" applyFont="1" applyBorder="1" applyAlignment="1">
      <alignment vertical="center"/>
    </xf>
    <xf numFmtId="171" fontId="24" fillId="0" borderId="13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9" xfId="0" quotePrefix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1" fontId="12" fillId="0" borderId="42" xfId="1" applyFont="1" applyBorder="1" applyAlignment="1">
      <alignment vertical="center"/>
    </xf>
    <xf numFmtId="171" fontId="12" fillId="0" borderId="42" xfId="1" applyFont="1" applyBorder="1" applyAlignment="1">
      <alignment horizontal="right" vertical="center"/>
    </xf>
    <xf numFmtId="171" fontId="12" fillId="0" borderId="42" xfId="1" applyFont="1" applyFill="1" applyBorder="1" applyAlignment="1">
      <alignment horizontal="right" vertical="center"/>
    </xf>
    <xf numFmtId="4" fontId="12" fillId="0" borderId="42" xfId="1" applyNumberFormat="1" applyFont="1" applyBorder="1" applyAlignment="1">
      <alignment horizontal="right" vertical="center"/>
    </xf>
    <xf numFmtId="171" fontId="24" fillId="0" borderId="43" xfId="1" applyFont="1" applyBorder="1" applyAlignment="1">
      <alignment vertical="center"/>
    </xf>
    <xf numFmtId="0" fontId="32" fillId="0" borderId="44" xfId="0" applyFont="1" applyBorder="1" applyAlignment="1">
      <alignment vertical="center"/>
    </xf>
    <xf numFmtId="171" fontId="25" fillId="0" borderId="45" xfId="1" applyFont="1" applyBorder="1" applyAlignment="1">
      <alignment vertical="center"/>
    </xf>
    <xf numFmtId="171" fontId="25" fillId="0" borderId="45" xfId="1" applyFont="1" applyBorder="1" applyAlignment="1">
      <alignment horizontal="center" vertical="center"/>
    </xf>
    <xf numFmtId="171" fontId="25" fillId="0" borderId="46" xfId="1" applyFont="1" applyBorder="1" applyAlignment="1">
      <alignment horizontal="center" vertical="center"/>
    </xf>
    <xf numFmtId="171" fontId="24" fillId="0" borderId="43" xfId="1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171" fontId="25" fillId="0" borderId="48" xfId="1" applyFont="1" applyBorder="1" applyAlignment="1">
      <alignment horizontal="center" vertical="center"/>
    </xf>
    <xf numFmtId="171" fontId="24" fillId="0" borderId="43" xfId="0" applyNumberFormat="1" applyFont="1" applyBorder="1" applyAlignment="1">
      <alignment horizontal="center" vertical="center"/>
    </xf>
    <xf numFmtId="171" fontId="15" fillId="0" borderId="49" xfId="1" applyFont="1" applyBorder="1" applyAlignment="1">
      <alignment horizontal="right" vertical="center"/>
    </xf>
    <xf numFmtId="171" fontId="32" fillId="0" borderId="44" xfId="0" applyNumberFormat="1" applyFont="1" applyBorder="1" applyAlignment="1">
      <alignment vertical="center"/>
    </xf>
    <xf numFmtId="171" fontId="24" fillId="0" borderId="43" xfId="0" applyNumberFormat="1" applyFont="1" applyBorder="1" applyAlignment="1">
      <alignment vertical="center"/>
    </xf>
    <xf numFmtId="171" fontId="25" fillId="0" borderId="46" xfId="1" applyFont="1" applyBorder="1" applyAlignment="1">
      <alignment vertical="center"/>
    </xf>
    <xf numFmtId="171" fontId="25" fillId="0" borderId="44" xfId="1" applyFont="1" applyBorder="1" applyAlignment="1">
      <alignment vertical="center"/>
    </xf>
    <xf numFmtId="4" fontId="12" fillId="0" borderId="42" xfId="0" applyNumberFormat="1" applyFont="1" applyBorder="1" applyAlignment="1">
      <alignment vertical="center"/>
    </xf>
    <xf numFmtId="171" fontId="24" fillId="0" borderId="43" xfId="1" applyFont="1" applyBorder="1" applyAlignment="1">
      <alignment horizontal="right" vertical="center"/>
    </xf>
    <xf numFmtId="171" fontId="25" fillId="0" borderId="45" xfId="1" applyNumberFormat="1" applyFont="1" applyBorder="1" applyAlignment="1">
      <alignment horizontal="center" vertical="center"/>
    </xf>
    <xf numFmtId="0" fontId="32" fillId="0" borderId="45" xfId="0" applyFont="1" applyBorder="1" applyAlignment="1">
      <alignment vertical="center"/>
    </xf>
    <xf numFmtId="4" fontId="12" fillId="0" borderId="42" xfId="1" quotePrefix="1" applyNumberFormat="1" applyFont="1" applyBorder="1" applyAlignment="1">
      <alignment horizontal="right" vertical="center"/>
    </xf>
    <xf numFmtId="171" fontId="25" fillId="0" borderId="45" xfId="1" applyNumberFormat="1" applyFont="1" applyBorder="1" applyAlignment="1">
      <alignment vertical="center"/>
    </xf>
    <xf numFmtId="171" fontId="25" fillId="0" borderId="46" xfId="1" applyNumberFormat="1" applyFont="1" applyBorder="1" applyAlignment="1">
      <alignment vertical="center"/>
    </xf>
    <xf numFmtId="4" fontId="25" fillId="0" borderId="42" xfId="0" applyNumberFormat="1" applyFont="1" applyBorder="1" applyAlignment="1">
      <alignment vertical="center"/>
    </xf>
    <xf numFmtId="4" fontId="25" fillId="0" borderId="42" xfId="1" applyNumberFormat="1" applyFont="1" applyBorder="1" applyAlignment="1">
      <alignment vertical="center"/>
    </xf>
    <xf numFmtId="171" fontId="25" fillId="0" borderId="48" xfId="1" applyFont="1" applyBorder="1" applyAlignment="1">
      <alignment horizontal="right" vertical="center"/>
    </xf>
    <xf numFmtId="4" fontId="12" fillId="0" borderId="44" xfId="0" applyNumberFormat="1" applyFont="1" applyBorder="1" applyAlignment="1">
      <alignment vertical="center"/>
    </xf>
    <xf numFmtId="171" fontId="25" fillId="0" borderId="45" xfId="1" applyNumberFormat="1" applyFont="1" applyBorder="1" applyAlignment="1">
      <alignment horizontal="right" vertical="center"/>
    </xf>
    <xf numFmtId="171" fontId="25" fillId="0" borderId="45" xfId="0" applyNumberFormat="1" applyFont="1" applyBorder="1" applyAlignment="1">
      <alignment horizontal="right" vertical="center"/>
    </xf>
    <xf numFmtId="171" fontId="25" fillId="0" borderId="46" xfId="1" applyNumberFormat="1" applyFont="1" applyBorder="1" applyAlignment="1">
      <alignment horizontal="center" vertical="center"/>
    </xf>
    <xf numFmtId="4" fontId="25" fillId="0" borderId="44" xfId="0" applyNumberFormat="1" applyFont="1" applyBorder="1" applyAlignment="1">
      <alignment horizontal="right" vertical="center"/>
    </xf>
    <xf numFmtId="171" fontId="25" fillId="0" borderId="48" xfId="1" applyNumberFormat="1" applyFont="1" applyBorder="1" applyAlignment="1">
      <alignment horizontal="center" vertical="center"/>
    </xf>
    <xf numFmtId="171" fontId="25" fillId="0" borderId="44" xfId="0" applyNumberFormat="1" applyFont="1" applyBorder="1" applyAlignment="1">
      <alignment vertical="center"/>
    </xf>
    <xf numFmtId="171" fontId="25" fillId="0" borderId="46" xfId="0" applyNumberFormat="1" applyFont="1" applyBorder="1" applyAlignment="1">
      <alignment horizontal="center" vertical="center"/>
    </xf>
    <xf numFmtId="171" fontId="25" fillId="0" borderId="45" xfId="0" applyNumberFormat="1" applyFont="1" applyBorder="1" applyAlignment="1">
      <alignment vertical="center"/>
    </xf>
    <xf numFmtId="171" fontId="24" fillId="0" borderId="50" xfId="0" applyNumberFormat="1" applyFont="1" applyBorder="1" applyAlignment="1">
      <alignment vertical="center"/>
    </xf>
    <xf numFmtId="171" fontId="25" fillId="0" borderId="42" xfId="0" applyNumberFormat="1" applyFont="1" applyBorder="1" applyAlignment="1">
      <alignment vertical="center"/>
    </xf>
    <xf numFmtId="171" fontId="25" fillId="0" borderId="51" xfId="1" applyNumberFormat="1" applyFont="1" applyBorder="1" applyAlignment="1">
      <alignment horizontal="right" vertical="center"/>
    </xf>
    <xf numFmtId="171" fontId="12" fillId="0" borderId="42" xfId="1" applyNumberFormat="1" applyFont="1" applyBorder="1" applyAlignment="1">
      <alignment horizontal="right" vertical="center"/>
    </xf>
    <xf numFmtId="171" fontId="12" fillId="0" borderId="51" xfId="1" applyNumberFormat="1" applyFont="1" applyBorder="1" applyAlignment="1">
      <alignment horizontal="right" vertical="center"/>
    </xf>
    <xf numFmtId="171" fontId="15" fillId="0" borderId="45" xfId="1" applyNumberFormat="1" applyFont="1" applyBorder="1" applyAlignment="1">
      <alignment horizontal="right" vertical="center"/>
    </xf>
    <xf numFmtId="171" fontId="12" fillId="0" borderId="45" xfId="1" applyNumberFormat="1" applyFont="1" applyBorder="1" applyAlignment="1">
      <alignment horizontal="right" vertical="center"/>
    </xf>
    <xf numFmtId="171" fontId="25" fillId="0" borderId="52" xfId="1" applyFont="1" applyBorder="1" applyAlignment="1">
      <alignment horizontal="center" vertical="center"/>
    </xf>
    <xf numFmtId="171" fontId="25" fillId="0" borderId="35" xfId="0" applyNumberFormat="1" applyFont="1" applyBorder="1" applyAlignment="1">
      <alignment horizontal="center" vertical="center"/>
    </xf>
    <xf numFmtId="171" fontId="24" fillId="0" borderId="6" xfId="1" applyFont="1" applyBorder="1" applyAlignment="1">
      <alignment horizontal="center" vertical="center"/>
    </xf>
    <xf numFmtId="4" fontId="25" fillId="0" borderId="29" xfId="1" applyNumberFormat="1" applyFont="1" applyBorder="1" applyAlignment="1">
      <alignment horizontal="center" vertical="center"/>
    </xf>
    <xf numFmtId="171" fontId="25" fillId="0" borderId="22" xfId="1" applyFont="1" applyFill="1" applyBorder="1" applyAlignment="1">
      <alignment horizontal="center" vertical="center"/>
    </xf>
    <xf numFmtId="171" fontId="25" fillId="0" borderId="53" xfId="1" applyFont="1" applyFill="1" applyBorder="1" applyAlignment="1">
      <alignment vertical="center"/>
    </xf>
    <xf numFmtId="43" fontId="36" fillId="0" borderId="5" xfId="0" applyNumberFormat="1" applyFont="1" applyBorder="1" applyAlignment="1">
      <alignment vertical="center"/>
    </xf>
    <xf numFmtId="43" fontId="32" fillId="0" borderId="44" xfId="0" applyNumberFormat="1" applyFont="1" applyBorder="1" applyAlignment="1">
      <alignment vertical="center"/>
    </xf>
    <xf numFmtId="41" fontId="12" fillId="0" borderId="20" xfId="1" applyNumberFormat="1" applyFont="1" applyBorder="1" applyAlignment="1">
      <alignment horizontal="right" vertical="center"/>
    </xf>
    <xf numFmtId="41" fontId="12" fillId="0" borderId="20" xfId="0" applyNumberFormat="1" applyFont="1" applyBorder="1" applyAlignment="1">
      <alignment vertical="center"/>
    </xf>
    <xf numFmtId="41" fontId="12" fillId="0" borderId="54" xfId="1" applyNumberFormat="1" applyFont="1" applyBorder="1" applyAlignment="1">
      <alignment horizontal="right" vertical="center"/>
    </xf>
    <xf numFmtId="41" fontId="12" fillId="0" borderId="24" xfId="0" applyNumberFormat="1" applyFont="1" applyBorder="1" applyAlignment="1">
      <alignment vertical="center"/>
    </xf>
    <xf numFmtId="41" fontId="25" fillId="0" borderId="20" xfId="0" applyNumberFormat="1" applyFont="1" applyBorder="1" applyAlignment="1">
      <alignment vertical="center"/>
    </xf>
    <xf numFmtId="41" fontId="25" fillId="0" borderId="24" xfId="1" applyNumberFormat="1" applyFont="1" applyBorder="1" applyAlignment="1">
      <alignment horizontal="right" vertical="center"/>
    </xf>
    <xf numFmtId="41" fontId="25" fillId="0" borderId="54" xfId="1" applyNumberFormat="1" applyFont="1" applyBorder="1" applyAlignment="1">
      <alignment horizontal="right" vertical="center"/>
    </xf>
    <xf numFmtId="41" fontId="12" fillId="0" borderId="24" xfId="1" applyNumberFormat="1" applyFont="1" applyBorder="1" applyAlignment="1">
      <alignment horizontal="right" vertical="center"/>
    </xf>
    <xf numFmtId="41" fontId="15" fillId="0" borderId="21" xfId="1" applyNumberFormat="1" applyFont="1" applyBorder="1" applyAlignment="1">
      <alignment horizontal="right" vertical="center"/>
    </xf>
    <xf numFmtId="41" fontId="12" fillId="0" borderId="21" xfId="1" applyNumberFormat="1" applyFont="1" applyBorder="1" applyAlignment="1">
      <alignment horizontal="right" vertical="center"/>
    </xf>
    <xf numFmtId="41" fontId="15" fillId="0" borderId="20" xfId="1" applyNumberFormat="1" applyFont="1" applyBorder="1" applyAlignment="1">
      <alignment horizontal="right" vertical="center"/>
    </xf>
    <xf numFmtId="171" fontId="25" fillId="0" borderId="20" xfId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20" fillId="0" borderId="19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171" fontId="34" fillId="0" borderId="0" xfId="1" applyFont="1" applyBorder="1" applyAlignment="1">
      <alignment horizontal="right" vertical="center"/>
    </xf>
    <xf numFmtId="171" fontId="34" fillId="0" borderId="0" xfId="1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right"/>
    </xf>
    <xf numFmtId="171" fontId="25" fillId="0" borderId="6" xfId="1" applyFont="1" applyBorder="1" applyAlignment="1">
      <alignment vertical="center"/>
    </xf>
    <xf numFmtId="4" fontId="25" fillId="0" borderId="20" xfId="1" applyNumberFormat="1" applyFont="1" applyBorder="1" applyAlignment="1">
      <alignment horizontal="right" vertical="center"/>
    </xf>
    <xf numFmtId="171" fontId="25" fillId="2" borderId="28" xfId="0" applyNumberFormat="1" applyFont="1" applyFill="1" applyBorder="1" applyAlignment="1">
      <alignment horizontal="center" vertical="center"/>
    </xf>
    <xf numFmtId="171" fontId="25" fillId="2" borderId="31" xfId="0" applyNumberFormat="1" applyFont="1" applyFill="1" applyBorder="1" applyAlignment="1">
      <alignment horizontal="center" vertical="center"/>
    </xf>
    <xf numFmtId="171" fontId="25" fillId="2" borderId="28" xfId="1" applyFont="1" applyFill="1" applyBorder="1" applyAlignment="1">
      <alignment horizontal="center" vertical="center"/>
    </xf>
    <xf numFmtId="171" fontId="35" fillId="0" borderId="0" xfId="1" applyFont="1" applyBorder="1" applyAlignment="1">
      <alignment vertical="center"/>
    </xf>
    <xf numFmtId="190" fontId="12" fillId="0" borderId="20" xfId="1" applyNumberFormat="1" applyFont="1" applyBorder="1" applyAlignment="1">
      <alignment horizontal="right" vertical="center"/>
    </xf>
    <xf numFmtId="190" fontId="25" fillId="0" borderId="20" xfId="0" applyNumberFormat="1" applyFont="1" applyBorder="1" applyAlignment="1">
      <alignment vertical="center"/>
    </xf>
    <xf numFmtId="0" fontId="39" fillId="0" borderId="0" xfId="0" applyFont="1" applyFill="1"/>
    <xf numFmtId="0" fontId="0" fillId="0" borderId="0" xfId="0" applyFill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 wrapText="1"/>
      <protection locked="0"/>
    </xf>
    <xf numFmtId="0" fontId="40" fillId="0" borderId="0" xfId="0" applyFont="1" applyFill="1" applyAlignment="1">
      <alignment horizontal="left" vertical="center"/>
    </xf>
    <xf numFmtId="0" fontId="0" fillId="0" borderId="0" xfId="0" applyFill="1" applyProtection="1"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wrapText="1"/>
      <protection locked="0"/>
    </xf>
    <xf numFmtId="0" fontId="42" fillId="0" borderId="0" xfId="0" applyFont="1" applyFill="1"/>
    <xf numFmtId="0" fontId="43" fillId="0" borderId="0" xfId="0" applyFont="1" applyFill="1" applyAlignment="1" applyProtection="1">
      <alignment vertical="center" wrapText="1"/>
      <protection locked="0"/>
    </xf>
    <xf numFmtId="0" fontId="43" fillId="0" borderId="0" xfId="0" applyFont="1" applyFill="1" applyAlignment="1">
      <alignment horizontal="left" vertical="center"/>
    </xf>
    <xf numFmtId="0" fontId="44" fillId="0" borderId="0" xfId="0" applyFont="1" applyFill="1" applyAlignment="1" applyProtection="1">
      <alignment horizontal="center"/>
      <protection locked="0"/>
    </xf>
    <xf numFmtId="0" fontId="45" fillId="0" borderId="0" xfId="0" applyFont="1" applyFill="1" applyAlignment="1" applyProtection="1">
      <alignment horizontal="center"/>
      <protection locked="0"/>
    </xf>
    <xf numFmtId="0" fontId="4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wrapText="1"/>
    </xf>
    <xf numFmtId="0" fontId="46" fillId="0" borderId="0" xfId="0" applyFont="1" applyFill="1" applyAlignment="1" applyProtection="1">
      <alignment horizontal="center"/>
      <protection locked="0"/>
    </xf>
    <xf numFmtId="0" fontId="35" fillId="0" borderId="0" xfId="0" applyFont="1" applyBorder="1" applyAlignment="1">
      <alignment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4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wrapText="1"/>
      <protection locked="0"/>
    </xf>
    <xf numFmtId="0" fontId="49" fillId="0" borderId="0" xfId="0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49" fillId="0" borderId="0" xfId="0" applyFont="1" applyFill="1" applyAlignment="1" applyProtection="1">
      <alignment vertical="center"/>
      <protection locked="0"/>
    </xf>
    <xf numFmtId="0" fontId="49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wrapText="1"/>
      <protection locked="0"/>
    </xf>
    <xf numFmtId="171" fontId="15" fillId="0" borderId="0" xfId="1" applyFont="1" applyBorder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Alignment="1">
      <alignment wrapText="1"/>
    </xf>
    <xf numFmtId="0" fontId="42" fillId="0" borderId="55" xfId="0" applyFont="1" applyFill="1" applyBorder="1" applyAlignment="1">
      <alignment wrapText="1"/>
    </xf>
    <xf numFmtId="0" fontId="42" fillId="0" borderId="56" xfId="0" applyFont="1" applyFill="1" applyBorder="1" applyAlignment="1">
      <alignment wrapText="1"/>
    </xf>
    <xf numFmtId="0" fontId="3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1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wrapText="1"/>
    </xf>
    <xf numFmtId="0" fontId="20" fillId="0" borderId="14" xfId="0" applyFont="1" applyBorder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5" fillId="0" borderId="0" xfId="0" applyFont="1" applyFill="1" applyAlignment="1" applyProtection="1">
      <alignment horizontal="center" wrapText="1"/>
      <protection locked="0"/>
    </xf>
    <xf numFmtId="0" fontId="46" fillId="0" borderId="0" xfId="0" applyFont="1" applyFill="1" applyAlignment="1">
      <alignment horizontal="center"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0"/>
  </sheetPr>
  <dimension ref="A1:G71"/>
  <sheetViews>
    <sheetView view="pageBreakPreview" zoomScale="98" zoomScaleNormal="100" zoomScaleSheetLayoutView="98" workbookViewId="0">
      <selection activeCell="A7" sqref="A7:F9"/>
    </sheetView>
  </sheetViews>
  <sheetFormatPr defaultColWidth="9.28515625" defaultRowHeight="12.75" x14ac:dyDescent="0.2"/>
  <cols>
    <col min="1" max="1" width="36.28515625" style="15" customWidth="1"/>
    <col min="2" max="2" width="11.7109375" style="28" customWidth="1"/>
    <col min="3" max="3" width="19.42578125" style="28" customWidth="1"/>
    <col min="4" max="4" width="15.28515625" style="28" customWidth="1"/>
    <col min="5" max="5" width="12.140625" style="28" customWidth="1"/>
    <col min="6" max="6" width="11.85546875" style="28" customWidth="1"/>
    <col min="7" max="7" width="11.7109375" style="28" customWidth="1"/>
    <col min="8" max="16384" width="9.28515625" style="3"/>
  </cols>
  <sheetData>
    <row r="1" spans="1:7" ht="11.25" customHeight="1" x14ac:dyDescent="0.2">
      <c r="A1" s="470" t="s">
        <v>344</v>
      </c>
      <c r="B1" s="471"/>
      <c r="C1" s="471"/>
      <c r="D1" s="471"/>
      <c r="E1" s="471"/>
      <c r="F1" s="471"/>
      <c r="G1" s="471"/>
    </row>
    <row r="2" spans="1:7" ht="9.75" customHeight="1" x14ac:dyDescent="0.2">
      <c r="A2" s="470" t="s">
        <v>345</v>
      </c>
      <c r="B2" s="472"/>
      <c r="C2" s="472"/>
      <c r="D2" s="472"/>
      <c r="E2" s="472"/>
      <c r="F2" s="472"/>
      <c r="G2" s="472"/>
    </row>
    <row r="3" spans="1:7" ht="13.5" customHeight="1" x14ac:dyDescent="0.2">
      <c r="A3" s="473" t="s">
        <v>346</v>
      </c>
      <c r="B3" s="472"/>
      <c r="C3" s="472"/>
      <c r="D3" s="472"/>
      <c r="E3" s="472"/>
      <c r="F3" s="472"/>
      <c r="G3" s="472"/>
    </row>
    <row r="4" spans="1:7" x14ac:dyDescent="0.2">
      <c r="A4" s="474"/>
      <c r="B4" s="474"/>
      <c r="C4" s="474"/>
      <c r="D4" s="474"/>
      <c r="E4" s="474"/>
      <c r="F4" s="474"/>
      <c r="G4" s="474"/>
    </row>
    <row r="5" spans="1:7" ht="15" x14ac:dyDescent="0.25">
      <c r="A5" s="517" t="s">
        <v>347</v>
      </c>
      <c r="B5" s="517"/>
      <c r="C5" s="517"/>
      <c r="D5" s="517"/>
      <c r="E5" s="517"/>
      <c r="F5" s="517"/>
      <c r="G5" s="517"/>
    </row>
    <row r="6" spans="1:7" ht="15" x14ac:dyDescent="0.25">
      <c r="A6" s="475"/>
      <c r="B6" s="475"/>
      <c r="C6" s="475"/>
      <c r="D6" s="475"/>
      <c r="E6" s="475"/>
      <c r="F6" s="475"/>
      <c r="G6" s="475"/>
    </row>
    <row r="7" spans="1:7" ht="15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476"/>
    </row>
    <row r="8" spans="1:7" ht="36" x14ac:dyDescent="0.2">
      <c r="A8" s="486" t="s">
        <v>351</v>
      </c>
      <c r="B8" s="487" t="s">
        <v>352</v>
      </c>
      <c r="C8" s="488"/>
      <c r="D8" s="486" t="s">
        <v>356</v>
      </c>
      <c r="E8" s="489"/>
      <c r="F8" s="488"/>
      <c r="G8" s="477"/>
    </row>
    <row r="9" spans="1:7" x14ac:dyDescent="0.2">
      <c r="A9" s="486" t="s">
        <v>354</v>
      </c>
      <c r="B9" s="487" t="s">
        <v>355</v>
      </c>
      <c r="C9" s="488"/>
      <c r="D9" s="488"/>
      <c r="E9" s="488"/>
      <c r="F9" s="488"/>
      <c r="G9" s="477"/>
    </row>
    <row r="10" spans="1:7" ht="13.5" thickBot="1" x14ac:dyDescent="0.25">
      <c r="A10" s="455"/>
      <c r="B10" s="442"/>
      <c r="C10" s="442"/>
      <c r="D10" s="442"/>
      <c r="E10" s="71"/>
      <c r="F10" s="455"/>
      <c r="G10" s="461"/>
    </row>
    <row r="11" spans="1:7" ht="13.5" thickBot="1" x14ac:dyDescent="0.25">
      <c r="A11" s="520" t="s">
        <v>27</v>
      </c>
      <c r="B11" s="448" t="s">
        <v>15</v>
      </c>
      <c r="C11" s="443" t="s">
        <v>1</v>
      </c>
      <c r="D11" s="522" t="s">
        <v>329</v>
      </c>
      <c r="E11" s="523"/>
      <c r="F11" s="524"/>
      <c r="G11" s="444" t="s">
        <v>3</v>
      </c>
    </row>
    <row r="12" spans="1:7" x14ac:dyDescent="0.2">
      <c r="A12" s="521"/>
      <c r="B12" s="449" t="s">
        <v>0</v>
      </c>
      <c r="C12" s="446">
        <v>2022</v>
      </c>
      <c r="D12" s="156" t="s">
        <v>167</v>
      </c>
      <c r="E12" s="245" t="s">
        <v>168</v>
      </c>
      <c r="F12" s="525" t="s">
        <v>169</v>
      </c>
      <c r="G12" s="447">
        <v>2024</v>
      </c>
    </row>
    <row r="13" spans="1:7" x14ac:dyDescent="0.2">
      <c r="A13" s="521"/>
      <c r="B13" s="180"/>
      <c r="C13" s="446" t="s">
        <v>2</v>
      </c>
      <c r="D13" s="449" t="s">
        <v>2</v>
      </c>
      <c r="E13" s="446" t="s">
        <v>183</v>
      </c>
      <c r="F13" s="526"/>
      <c r="G13" s="447" t="s">
        <v>33</v>
      </c>
    </row>
    <row r="14" spans="1:7" ht="13.5" thickBot="1" x14ac:dyDescent="0.25">
      <c r="A14" s="451" t="s">
        <v>28</v>
      </c>
      <c r="B14" s="158" t="s">
        <v>29</v>
      </c>
      <c r="C14" s="452" t="s">
        <v>30</v>
      </c>
      <c r="D14" s="158" t="s">
        <v>31</v>
      </c>
      <c r="E14" s="452" t="s">
        <v>32</v>
      </c>
      <c r="F14" s="158" t="s">
        <v>170</v>
      </c>
      <c r="G14" s="453" t="s">
        <v>171</v>
      </c>
    </row>
    <row r="15" spans="1:7" x14ac:dyDescent="0.2">
      <c r="A15" s="163" t="s">
        <v>4</v>
      </c>
      <c r="B15" s="339"/>
      <c r="C15" s="47"/>
      <c r="D15" s="339"/>
      <c r="E15" s="47"/>
      <c r="F15" s="339"/>
      <c r="G15" s="335"/>
    </row>
    <row r="16" spans="1:7" x14ac:dyDescent="0.2">
      <c r="A16" s="163" t="s">
        <v>5</v>
      </c>
      <c r="B16" s="339"/>
      <c r="C16" s="47"/>
      <c r="D16" s="340"/>
      <c r="E16" s="47"/>
      <c r="F16" s="340"/>
      <c r="G16" s="335"/>
    </row>
    <row r="17" spans="1:7" x14ac:dyDescent="0.2">
      <c r="A17" s="136" t="s">
        <v>46</v>
      </c>
      <c r="B17" s="181" t="s">
        <v>100</v>
      </c>
      <c r="C17" s="177">
        <v>6054400</v>
      </c>
      <c r="D17" s="464">
        <v>3147000.97</v>
      </c>
      <c r="E17" s="166">
        <f t="shared" ref="E17:E38" si="0">F17-D17</f>
        <v>3272999.03</v>
      </c>
      <c r="F17" s="378">
        <f>6303000+117000</f>
        <v>6420000</v>
      </c>
      <c r="G17" s="143">
        <v>6526000</v>
      </c>
    </row>
    <row r="18" spans="1:7" x14ac:dyDescent="0.2">
      <c r="A18" s="136" t="s">
        <v>48</v>
      </c>
      <c r="B18" s="181" t="s">
        <v>101</v>
      </c>
      <c r="C18" s="177">
        <v>383727.28</v>
      </c>
      <c r="D18" s="464">
        <v>191000</v>
      </c>
      <c r="E18" s="166">
        <f t="shared" si="0"/>
        <v>211000</v>
      </c>
      <c r="F18" s="378">
        <f>384000+18000</f>
        <v>402000</v>
      </c>
      <c r="G18" s="143">
        <v>408000</v>
      </c>
    </row>
    <row r="19" spans="1:7" x14ac:dyDescent="0.2">
      <c r="A19" s="136" t="s">
        <v>40</v>
      </c>
      <c r="B19" s="181" t="s">
        <v>120</v>
      </c>
      <c r="C19" s="177">
        <v>81000</v>
      </c>
      <c r="D19" s="464">
        <v>40500</v>
      </c>
      <c r="E19" s="166">
        <f t="shared" si="0"/>
        <v>40500</v>
      </c>
      <c r="F19" s="378">
        <v>81000</v>
      </c>
      <c r="G19" s="143">
        <v>81000</v>
      </c>
    </row>
    <row r="20" spans="1:7" x14ac:dyDescent="0.2">
      <c r="A20" s="136" t="s">
        <v>56</v>
      </c>
      <c r="B20" s="181" t="s">
        <v>121</v>
      </c>
      <c r="C20" s="177">
        <v>0</v>
      </c>
      <c r="D20" s="464">
        <v>0</v>
      </c>
      <c r="E20" s="166">
        <f t="shared" si="0"/>
        <v>0</v>
      </c>
      <c r="F20" s="415">
        <v>0</v>
      </c>
      <c r="G20" s="143">
        <v>0</v>
      </c>
    </row>
    <row r="21" spans="1:7" x14ac:dyDescent="0.2">
      <c r="A21" s="136" t="s">
        <v>42</v>
      </c>
      <c r="B21" s="181" t="s">
        <v>102</v>
      </c>
      <c r="C21" s="177">
        <v>96000</v>
      </c>
      <c r="D21" s="464">
        <v>96000</v>
      </c>
      <c r="E21" s="166">
        <f t="shared" si="0"/>
        <v>6000</v>
      </c>
      <c r="F21" s="393">
        <f>96000+6000</f>
        <v>102000</v>
      </c>
      <c r="G21" s="145">
        <v>102000</v>
      </c>
    </row>
    <row r="22" spans="1:7" x14ac:dyDescent="0.2">
      <c r="A22" s="136" t="s">
        <v>180</v>
      </c>
      <c r="B22" s="181" t="s">
        <v>156</v>
      </c>
      <c r="C22" s="177">
        <v>172511.3</v>
      </c>
      <c r="D22" s="464">
        <v>85950</v>
      </c>
      <c r="E22" s="166">
        <f t="shared" si="0"/>
        <v>86850</v>
      </c>
      <c r="F22" s="393">
        <v>172800</v>
      </c>
      <c r="G22" s="145">
        <v>185000</v>
      </c>
    </row>
    <row r="23" spans="1:7" x14ac:dyDescent="0.2">
      <c r="A23" s="136" t="s">
        <v>181</v>
      </c>
      <c r="B23" s="181" t="s">
        <v>157</v>
      </c>
      <c r="C23" s="177">
        <v>23959.759999999998</v>
      </c>
      <c r="D23" s="464">
        <v>11937.5</v>
      </c>
      <c r="E23" s="166">
        <f t="shared" si="0"/>
        <v>12062.5</v>
      </c>
      <c r="F23" s="393">
        <v>24000</v>
      </c>
      <c r="G23" s="145">
        <v>26000</v>
      </c>
    </row>
    <row r="24" spans="1:7" x14ac:dyDescent="0.2">
      <c r="A24" s="136" t="s">
        <v>182</v>
      </c>
      <c r="B24" s="181" t="s">
        <v>158</v>
      </c>
      <c r="C24" s="177">
        <v>1274998.21</v>
      </c>
      <c r="D24" s="464">
        <v>639581.19999999995</v>
      </c>
      <c r="E24" s="166">
        <f t="shared" si="0"/>
        <v>936418.8</v>
      </c>
      <c r="F24" s="378">
        <v>1576000</v>
      </c>
      <c r="G24" s="143">
        <v>1632000</v>
      </c>
    </row>
    <row r="25" spans="1:7" x14ac:dyDescent="0.2">
      <c r="A25" s="136" t="s">
        <v>94</v>
      </c>
      <c r="B25" s="181" t="s">
        <v>104</v>
      </c>
      <c r="C25" s="177">
        <v>504535</v>
      </c>
      <c r="D25" s="464">
        <v>0</v>
      </c>
      <c r="E25" s="166">
        <f t="shared" si="0"/>
        <v>538500</v>
      </c>
      <c r="F25" s="378">
        <f>525500+13000</f>
        <v>538500</v>
      </c>
      <c r="G25" s="143">
        <v>544000</v>
      </c>
    </row>
    <row r="26" spans="1:7" x14ac:dyDescent="0.2">
      <c r="A26" s="136" t="s">
        <v>150</v>
      </c>
      <c r="B26" s="181" t="s">
        <v>127</v>
      </c>
      <c r="C26" s="177">
        <v>504535</v>
      </c>
      <c r="D26" s="464">
        <v>525494</v>
      </c>
      <c r="E26" s="166">
        <f t="shared" si="0"/>
        <v>13006</v>
      </c>
      <c r="F26" s="378">
        <f>525500+13000</f>
        <v>538500</v>
      </c>
      <c r="G26" s="143">
        <v>544000</v>
      </c>
    </row>
    <row r="27" spans="1:7" x14ac:dyDescent="0.2">
      <c r="A27" s="136" t="s">
        <v>10</v>
      </c>
      <c r="B27" s="181" t="s">
        <v>103</v>
      </c>
      <c r="C27" s="177">
        <v>80000</v>
      </c>
      <c r="D27" s="464">
        <v>0</v>
      </c>
      <c r="E27" s="166">
        <f t="shared" si="0"/>
        <v>85000</v>
      </c>
      <c r="F27" s="378">
        <f>80000+5000</f>
        <v>85000</v>
      </c>
      <c r="G27" s="143">
        <v>85000</v>
      </c>
    </row>
    <row r="28" spans="1:7" x14ac:dyDescent="0.2">
      <c r="A28" s="136" t="s">
        <v>160</v>
      </c>
      <c r="B28" s="181" t="s">
        <v>105</v>
      </c>
      <c r="C28" s="177">
        <v>726544.68</v>
      </c>
      <c r="D28" s="464">
        <v>378302.84</v>
      </c>
      <c r="E28" s="166">
        <f t="shared" si="0"/>
        <v>392297.16</v>
      </c>
      <c r="F28" s="378">
        <f>756500+14100</f>
        <v>770600</v>
      </c>
      <c r="G28" s="143">
        <v>784000</v>
      </c>
    </row>
    <row r="29" spans="1:7" x14ac:dyDescent="0.2">
      <c r="A29" s="136" t="s">
        <v>57</v>
      </c>
      <c r="B29" s="181" t="s">
        <v>106</v>
      </c>
      <c r="C29" s="177">
        <v>120949.48</v>
      </c>
      <c r="D29" s="464">
        <v>63059.28</v>
      </c>
      <c r="E29" s="166">
        <f t="shared" si="0"/>
        <v>65840.72</v>
      </c>
      <c r="F29" s="378">
        <f>126500+2400</f>
        <v>128900</v>
      </c>
      <c r="G29" s="143">
        <v>131000</v>
      </c>
    </row>
    <row r="30" spans="1:7" ht="12" customHeight="1" x14ac:dyDescent="0.2">
      <c r="A30" s="136" t="s">
        <v>58</v>
      </c>
      <c r="B30" s="181" t="s">
        <v>107</v>
      </c>
      <c r="C30" s="177">
        <v>120900.41</v>
      </c>
      <c r="D30" s="464">
        <v>61311.839999999997</v>
      </c>
      <c r="E30" s="166">
        <f t="shared" si="0"/>
        <v>85388.160000000003</v>
      </c>
      <c r="F30" s="378">
        <f>142000+4700</f>
        <v>146700</v>
      </c>
      <c r="G30" s="143">
        <v>164000</v>
      </c>
    </row>
    <row r="31" spans="1:7" x14ac:dyDescent="0.2">
      <c r="A31" s="136" t="s">
        <v>188</v>
      </c>
      <c r="B31" s="181"/>
      <c r="C31" s="177"/>
      <c r="D31" s="464"/>
      <c r="E31" s="166"/>
      <c r="F31" s="378"/>
      <c r="G31" s="143"/>
    </row>
    <row r="32" spans="1:7" x14ac:dyDescent="0.2">
      <c r="A32" s="136" t="s">
        <v>219</v>
      </c>
      <c r="B32" s="181" t="s">
        <v>108</v>
      </c>
      <c r="C32" s="177">
        <v>19200</v>
      </c>
      <c r="D32" s="464">
        <v>9600</v>
      </c>
      <c r="E32" s="166">
        <f t="shared" si="0"/>
        <v>10500</v>
      </c>
      <c r="F32" s="378">
        <f>19200+900</f>
        <v>20100</v>
      </c>
      <c r="G32" s="143">
        <v>21000</v>
      </c>
    </row>
    <row r="33" spans="1:7" x14ac:dyDescent="0.2">
      <c r="A33" s="136" t="s">
        <v>45</v>
      </c>
      <c r="B33" s="181" t="s">
        <v>128</v>
      </c>
      <c r="C33" s="177">
        <v>487880.57</v>
      </c>
      <c r="D33" s="464">
        <v>192103.57</v>
      </c>
      <c r="E33" s="166">
        <f t="shared" si="0"/>
        <v>207896.43</v>
      </c>
      <c r="F33" s="378">
        <v>400000</v>
      </c>
      <c r="G33" s="143">
        <v>383000</v>
      </c>
    </row>
    <row r="34" spans="1:7" x14ac:dyDescent="0.2">
      <c r="A34" s="136" t="s">
        <v>60</v>
      </c>
      <c r="B34" s="181" t="s">
        <v>129</v>
      </c>
      <c r="C34" s="177">
        <v>80000</v>
      </c>
      <c r="D34" s="464">
        <v>0</v>
      </c>
      <c r="E34" s="166">
        <f t="shared" si="0"/>
        <v>85000</v>
      </c>
      <c r="F34" s="378">
        <f>80000+5000</f>
        <v>85000</v>
      </c>
      <c r="G34" s="143">
        <v>85000</v>
      </c>
    </row>
    <row r="35" spans="1:7" x14ac:dyDescent="0.2">
      <c r="A35" s="137" t="s">
        <v>59</v>
      </c>
      <c r="B35" s="181" t="s">
        <v>130</v>
      </c>
      <c r="C35" s="177">
        <v>30000</v>
      </c>
      <c r="D35" s="464">
        <v>0</v>
      </c>
      <c r="E35" s="166">
        <f t="shared" si="0"/>
        <v>0</v>
      </c>
      <c r="F35" s="415">
        <v>0</v>
      </c>
      <c r="G35" s="468">
        <v>10000</v>
      </c>
    </row>
    <row r="36" spans="1:7" x14ac:dyDescent="0.2">
      <c r="A36" s="137" t="s">
        <v>89</v>
      </c>
      <c r="B36" s="184" t="s">
        <v>131</v>
      </c>
      <c r="C36" s="178">
        <v>0</v>
      </c>
      <c r="D36" s="465">
        <v>0</v>
      </c>
      <c r="E36" s="166">
        <f t="shared" si="0"/>
        <v>0</v>
      </c>
      <c r="F36" s="416">
        <v>0</v>
      </c>
      <c r="G36" s="434">
        <v>0</v>
      </c>
    </row>
    <row r="37" spans="1:7" x14ac:dyDescent="0.2">
      <c r="A37" s="137" t="s">
        <v>260</v>
      </c>
      <c r="B37" s="181" t="s">
        <v>261</v>
      </c>
      <c r="C37" s="167">
        <v>400000</v>
      </c>
      <c r="D37" s="466">
        <v>0</v>
      </c>
      <c r="E37" s="166">
        <f t="shared" si="0"/>
        <v>0</v>
      </c>
      <c r="F37" s="417">
        <v>0</v>
      </c>
      <c r="G37" s="435">
        <v>0</v>
      </c>
    </row>
    <row r="38" spans="1:7" ht="13.5" thickBot="1" x14ac:dyDescent="0.25">
      <c r="A38" s="137" t="s">
        <v>293</v>
      </c>
      <c r="B38" s="181" t="s">
        <v>292</v>
      </c>
      <c r="C38" s="167">
        <v>320000</v>
      </c>
      <c r="D38" s="466">
        <v>0</v>
      </c>
      <c r="E38" s="166">
        <f t="shared" si="0"/>
        <v>0</v>
      </c>
      <c r="F38" s="418">
        <v>0</v>
      </c>
      <c r="G38" s="436">
        <v>0</v>
      </c>
    </row>
    <row r="39" spans="1:7" ht="13.5" thickBot="1" x14ac:dyDescent="0.25">
      <c r="A39" s="12" t="s">
        <v>75</v>
      </c>
      <c r="B39" s="72"/>
      <c r="C39" s="78">
        <f>SUM(C17:C38)</f>
        <v>11481141.690000001</v>
      </c>
      <c r="D39" s="53">
        <f>SUM(D17:D38)</f>
        <v>5441841.2000000002</v>
      </c>
      <c r="E39" s="78">
        <f>SUM(E17:E38)</f>
        <v>6049258.7999999998</v>
      </c>
      <c r="F39" s="387">
        <f>SUM(F17:F38)</f>
        <v>11491100</v>
      </c>
      <c r="G39" s="77">
        <f>SUM(G17:G38)</f>
        <v>11711000</v>
      </c>
    </row>
    <row r="40" spans="1:7" x14ac:dyDescent="0.2">
      <c r="A40" s="163" t="s">
        <v>19</v>
      </c>
      <c r="B40" s="299"/>
      <c r="C40" s="345"/>
      <c r="D40" s="343"/>
      <c r="E40" s="342"/>
      <c r="F40" s="389"/>
      <c r="G40" s="207"/>
    </row>
    <row r="41" spans="1:7" x14ac:dyDescent="0.2">
      <c r="A41" s="137" t="s">
        <v>8</v>
      </c>
      <c r="B41" s="181" t="s">
        <v>109</v>
      </c>
      <c r="C41" s="177">
        <v>237240</v>
      </c>
      <c r="D41" s="198">
        <v>117812.5</v>
      </c>
      <c r="E41" s="166">
        <f t="shared" ref="E41:E58" si="1">F41-D41</f>
        <v>222187.5</v>
      </c>
      <c r="F41" s="398">
        <f>240000+100000</f>
        <v>340000</v>
      </c>
      <c r="G41" s="147">
        <v>250000</v>
      </c>
    </row>
    <row r="42" spans="1:7" x14ac:dyDescent="0.2">
      <c r="A42" s="137" t="s">
        <v>281</v>
      </c>
      <c r="B42" s="181" t="s">
        <v>110</v>
      </c>
      <c r="C42" s="177">
        <v>19500</v>
      </c>
      <c r="D42" s="198">
        <v>36000</v>
      </c>
      <c r="E42" s="166">
        <f t="shared" si="1"/>
        <v>114000</v>
      </c>
      <c r="F42" s="398">
        <f>100000+50000</f>
        <v>150000</v>
      </c>
      <c r="G42" s="147">
        <v>100000</v>
      </c>
    </row>
    <row r="43" spans="1:7" x14ac:dyDescent="0.2">
      <c r="A43" s="137" t="s">
        <v>13</v>
      </c>
      <c r="B43" s="181" t="s">
        <v>111</v>
      </c>
      <c r="C43" s="177">
        <v>99856</v>
      </c>
      <c r="D43" s="198">
        <v>48432</v>
      </c>
      <c r="E43" s="166">
        <f t="shared" si="1"/>
        <v>51568</v>
      </c>
      <c r="F43" s="398">
        <v>100000</v>
      </c>
      <c r="G43" s="147">
        <v>100000</v>
      </c>
    </row>
    <row r="44" spans="1:7" x14ac:dyDescent="0.2">
      <c r="A44" s="317" t="s">
        <v>328</v>
      </c>
      <c r="B44" s="181" t="s">
        <v>295</v>
      </c>
      <c r="C44" s="177">
        <v>24000</v>
      </c>
      <c r="D44" s="198">
        <v>199675</v>
      </c>
      <c r="E44" s="166">
        <v>0</v>
      </c>
      <c r="F44" s="398">
        <v>500000</v>
      </c>
      <c r="G44" s="147">
        <v>670000</v>
      </c>
    </row>
    <row r="45" spans="1:7" x14ac:dyDescent="0.2">
      <c r="A45" s="317" t="s">
        <v>81</v>
      </c>
      <c r="B45" s="181" t="s">
        <v>133</v>
      </c>
      <c r="C45" s="177">
        <v>0</v>
      </c>
      <c r="D45" s="198">
        <v>0</v>
      </c>
      <c r="E45" s="166">
        <f t="shared" si="1"/>
        <v>600000</v>
      </c>
      <c r="F45" s="398">
        <f>500000+100000</f>
        <v>600000</v>
      </c>
      <c r="G45" s="147">
        <v>500000</v>
      </c>
    </row>
    <row r="46" spans="1:7" x14ac:dyDescent="0.2">
      <c r="A46" s="317" t="s">
        <v>163</v>
      </c>
      <c r="B46" s="181" t="s">
        <v>122</v>
      </c>
      <c r="C46" s="177">
        <v>199670</v>
      </c>
      <c r="D46" s="198">
        <v>278125</v>
      </c>
      <c r="E46" s="166">
        <f t="shared" si="1"/>
        <v>360475</v>
      </c>
      <c r="F46" s="398">
        <f>300000+338600</f>
        <v>638600</v>
      </c>
      <c r="G46" s="147">
        <v>300000</v>
      </c>
    </row>
    <row r="47" spans="1:7" x14ac:dyDescent="0.2">
      <c r="A47" s="317" t="s">
        <v>164</v>
      </c>
      <c r="B47" s="181" t="s">
        <v>112</v>
      </c>
      <c r="C47" s="177">
        <v>50000</v>
      </c>
      <c r="D47" s="198">
        <v>201890</v>
      </c>
      <c r="E47" s="166">
        <f t="shared" si="1"/>
        <v>195240</v>
      </c>
      <c r="F47" s="398">
        <f>255230+141900</f>
        <v>397130</v>
      </c>
      <c r="G47" s="147">
        <v>268000</v>
      </c>
    </row>
    <row r="48" spans="1:7" x14ac:dyDescent="0.2">
      <c r="A48" s="317" t="s">
        <v>17</v>
      </c>
      <c r="B48" s="181" t="s">
        <v>123</v>
      </c>
      <c r="C48" s="177">
        <v>2141.52</v>
      </c>
      <c r="D48" s="198">
        <v>0</v>
      </c>
      <c r="E48" s="166">
        <f t="shared" si="1"/>
        <v>0</v>
      </c>
      <c r="F48" s="398">
        <v>0</v>
      </c>
      <c r="G48" s="147">
        <v>0</v>
      </c>
    </row>
    <row r="49" spans="1:7" x14ac:dyDescent="0.2">
      <c r="A49" s="317" t="s">
        <v>11</v>
      </c>
      <c r="B49" s="181" t="s">
        <v>134</v>
      </c>
      <c r="C49" s="177">
        <v>0</v>
      </c>
      <c r="D49" s="198">
        <v>0</v>
      </c>
      <c r="E49" s="166">
        <v>0</v>
      </c>
      <c r="F49" s="198">
        <v>0</v>
      </c>
      <c r="G49" s="147">
        <v>0</v>
      </c>
    </row>
    <row r="50" spans="1:7" ht="11.25" customHeight="1" x14ac:dyDescent="0.2">
      <c r="A50" s="317" t="s">
        <v>165</v>
      </c>
      <c r="B50" s="181" t="s">
        <v>113</v>
      </c>
      <c r="C50" s="177">
        <v>0</v>
      </c>
      <c r="D50" s="198">
        <v>0</v>
      </c>
      <c r="E50" s="166">
        <f t="shared" si="1"/>
        <v>0</v>
      </c>
      <c r="F50" s="398">
        <v>0</v>
      </c>
      <c r="G50" s="147">
        <v>0</v>
      </c>
    </row>
    <row r="51" spans="1:7" x14ac:dyDescent="0.2">
      <c r="A51" s="317" t="s">
        <v>166</v>
      </c>
      <c r="B51" s="181" t="s">
        <v>114</v>
      </c>
      <c r="C51" s="177">
        <v>32152.34</v>
      </c>
      <c r="D51" s="198">
        <v>17297.37</v>
      </c>
      <c r="E51" s="166">
        <f t="shared" si="1"/>
        <v>30702.63</v>
      </c>
      <c r="F51" s="398">
        <v>48000</v>
      </c>
      <c r="G51" s="147">
        <v>48000</v>
      </c>
    </row>
    <row r="52" spans="1:7" x14ac:dyDescent="0.2">
      <c r="A52" s="317" t="s">
        <v>309</v>
      </c>
      <c r="B52" s="181" t="s">
        <v>139</v>
      </c>
      <c r="C52" s="177">
        <v>0</v>
      </c>
      <c r="D52" s="198">
        <v>0</v>
      </c>
      <c r="E52" s="166">
        <f>F52-D52</f>
        <v>0</v>
      </c>
      <c r="F52" s="198">
        <v>0</v>
      </c>
      <c r="G52" s="147">
        <v>0</v>
      </c>
    </row>
    <row r="53" spans="1:7" x14ac:dyDescent="0.2">
      <c r="A53" s="317" t="s">
        <v>337</v>
      </c>
      <c r="B53" s="184" t="s">
        <v>148</v>
      </c>
      <c r="C53" s="346">
        <v>0</v>
      </c>
      <c r="D53" s="344">
        <v>0</v>
      </c>
      <c r="E53" s="166">
        <f t="shared" si="1"/>
        <v>0</v>
      </c>
      <c r="F53" s="344">
        <v>0</v>
      </c>
      <c r="G53" s="147">
        <v>150000</v>
      </c>
    </row>
    <row r="54" spans="1:7" x14ac:dyDescent="0.2">
      <c r="A54" s="317" t="s">
        <v>240</v>
      </c>
      <c r="B54" s="184" t="s">
        <v>124</v>
      </c>
      <c r="C54" s="346">
        <v>0</v>
      </c>
      <c r="D54" s="344">
        <v>4000</v>
      </c>
      <c r="E54" s="166">
        <f t="shared" si="1"/>
        <v>21000</v>
      </c>
      <c r="F54" s="395">
        <v>25000</v>
      </c>
      <c r="G54" s="148">
        <v>25000</v>
      </c>
    </row>
    <row r="55" spans="1:7" x14ac:dyDescent="0.2">
      <c r="A55" s="317" t="s">
        <v>204</v>
      </c>
      <c r="B55" s="184"/>
      <c r="C55" s="346"/>
      <c r="D55" s="344"/>
      <c r="E55" s="166"/>
      <c r="F55" s="395"/>
      <c r="G55" s="148"/>
    </row>
    <row r="56" spans="1:7" ht="11.25" customHeight="1" x14ac:dyDescent="0.2">
      <c r="A56" s="317" t="s">
        <v>213</v>
      </c>
      <c r="B56" s="181" t="s">
        <v>115</v>
      </c>
      <c r="C56" s="177">
        <v>57890</v>
      </c>
      <c r="D56" s="198">
        <v>57725</v>
      </c>
      <c r="E56" s="166">
        <f t="shared" si="1"/>
        <v>92275</v>
      </c>
      <c r="F56" s="398">
        <v>150000</v>
      </c>
      <c r="G56" s="147">
        <v>0</v>
      </c>
    </row>
    <row r="57" spans="1:7" x14ac:dyDescent="0.2">
      <c r="A57" s="136" t="s">
        <v>64</v>
      </c>
      <c r="B57" s="181" t="s">
        <v>137</v>
      </c>
      <c r="C57" s="167">
        <v>15000</v>
      </c>
      <c r="D57" s="193">
        <v>206500</v>
      </c>
      <c r="E57" s="166">
        <f t="shared" si="1"/>
        <v>8000</v>
      </c>
      <c r="F57" s="382">
        <f>15000+199500</f>
        <v>214500</v>
      </c>
      <c r="G57" s="149">
        <v>30000</v>
      </c>
    </row>
    <row r="58" spans="1:7" ht="13.5" thickBot="1" x14ac:dyDescent="0.25">
      <c r="A58" s="317" t="s">
        <v>18</v>
      </c>
      <c r="B58" s="184" t="s">
        <v>116</v>
      </c>
      <c r="C58" s="178">
        <v>4000</v>
      </c>
      <c r="D58" s="341">
        <v>10000</v>
      </c>
      <c r="E58" s="166">
        <f t="shared" si="1"/>
        <v>40000</v>
      </c>
      <c r="F58" s="399">
        <v>50000</v>
      </c>
      <c r="G58" s="314">
        <v>50000</v>
      </c>
    </row>
    <row r="59" spans="1:7" ht="13.5" thickBot="1" x14ac:dyDescent="0.25">
      <c r="A59" s="12" t="s">
        <v>76</v>
      </c>
      <c r="B59" s="72"/>
      <c r="C59" s="78">
        <f>SUM(C41:C58)</f>
        <v>741449.86</v>
      </c>
      <c r="D59" s="53">
        <f>SUM(D41:D58)</f>
        <v>1177456.8700000001</v>
      </c>
      <c r="E59" s="78">
        <f>SUM(E41:E58)</f>
        <v>1735448.13</v>
      </c>
      <c r="F59" s="387">
        <f>SUM(F41:F58)</f>
        <v>3213230</v>
      </c>
      <c r="G59" s="77">
        <f>SUM(G41:G58)</f>
        <v>2491000</v>
      </c>
    </row>
    <row r="60" spans="1:7" x14ac:dyDescent="0.2">
      <c r="A60" s="165" t="s">
        <v>38</v>
      </c>
      <c r="B60" s="185"/>
      <c r="C60" s="220"/>
      <c r="D60" s="214"/>
      <c r="E60" s="220"/>
      <c r="F60" s="409"/>
      <c r="G60" s="336"/>
    </row>
    <row r="61" spans="1:7" x14ac:dyDescent="0.2">
      <c r="A61" s="136" t="s">
        <v>50</v>
      </c>
      <c r="B61" s="181" t="s">
        <v>153</v>
      </c>
      <c r="C61" s="178">
        <v>0</v>
      </c>
      <c r="D61" s="341">
        <v>1000000</v>
      </c>
      <c r="E61" s="174">
        <f>F61-D61</f>
        <v>0</v>
      </c>
      <c r="F61" s="410">
        <v>1000000</v>
      </c>
      <c r="G61" s="337">
        <v>0</v>
      </c>
    </row>
    <row r="62" spans="1:7" ht="12.75" customHeight="1" x14ac:dyDescent="0.2">
      <c r="A62" s="317" t="s">
        <v>78</v>
      </c>
      <c r="B62" s="181" t="s">
        <v>117</v>
      </c>
      <c r="C62" s="303">
        <v>0</v>
      </c>
      <c r="D62" s="216">
        <v>0</v>
      </c>
      <c r="E62" s="303">
        <v>0</v>
      </c>
      <c r="F62" s="411">
        <v>0</v>
      </c>
      <c r="G62" s="338">
        <v>140000</v>
      </c>
    </row>
    <row r="63" spans="1:7" x14ac:dyDescent="0.2">
      <c r="A63" s="136" t="s">
        <v>97</v>
      </c>
      <c r="B63" s="181" t="s">
        <v>118</v>
      </c>
      <c r="C63" s="178">
        <v>80000</v>
      </c>
      <c r="D63" s="341">
        <v>0</v>
      </c>
      <c r="E63" s="174">
        <f>F63-D63</f>
        <v>0</v>
      </c>
      <c r="F63" s="410">
        <v>0</v>
      </c>
      <c r="G63" s="337">
        <v>0</v>
      </c>
    </row>
    <row r="64" spans="1:7" ht="13.5" thickBot="1" x14ac:dyDescent="0.25">
      <c r="A64" s="136" t="s">
        <v>185</v>
      </c>
      <c r="B64" s="181" t="s">
        <v>119</v>
      </c>
      <c r="C64" s="178">
        <v>0</v>
      </c>
      <c r="D64" s="341">
        <v>0</v>
      </c>
      <c r="E64" s="174">
        <f>F64-D64</f>
        <v>0</v>
      </c>
      <c r="F64" s="410">
        <v>0</v>
      </c>
      <c r="G64" s="337">
        <v>0</v>
      </c>
    </row>
    <row r="65" spans="1:7" ht="13.5" thickBot="1" x14ac:dyDescent="0.25">
      <c r="A65" s="12" t="s">
        <v>77</v>
      </c>
      <c r="B65" s="73"/>
      <c r="C65" s="54">
        <f>SUM(C61:C64)</f>
        <v>80000</v>
      </c>
      <c r="D65" s="51">
        <f>SUM(D61:D64)</f>
        <v>1000000</v>
      </c>
      <c r="E65" s="54">
        <f>SUM(E61:E64)</f>
        <v>0</v>
      </c>
      <c r="F65" s="390">
        <f>SUM(F61:F64)</f>
        <v>1000000</v>
      </c>
      <c r="G65" s="66">
        <f>SUM(G61:G64)</f>
        <v>140000</v>
      </c>
    </row>
    <row r="66" spans="1:7" ht="13.5" thickBot="1" x14ac:dyDescent="0.25">
      <c r="A66" s="13" t="s">
        <v>53</v>
      </c>
      <c r="B66" s="65"/>
      <c r="C66" s="54">
        <f>C39+C59+C65</f>
        <v>12302591.550000001</v>
      </c>
      <c r="D66" s="51">
        <f>D39+D59+D65</f>
        <v>7619298.0700000003</v>
      </c>
      <c r="E66" s="54">
        <f>E39+E59+E65</f>
        <v>7784706.9299999997</v>
      </c>
      <c r="F66" s="390">
        <f>F39+F59+F65</f>
        <v>15704330</v>
      </c>
      <c r="G66" s="66">
        <f>G39+G59+G65</f>
        <v>14342000</v>
      </c>
    </row>
    <row r="67" spans="1:7" x14ac:dyDescent="0.2">
      <c r="A67" s="18"/>
      <c r="B67" s="8"/>
      <c r="C67" s="8"/>
      <c r="D67" s="8"/>
      <c r="E67" s="48"/>
      <c r="F67" s="49"/>
      <c r="G67" s="8"/>
    </row>
    <row r="68" spans="1:7" x14ac:dyDescent="0.2">
      <c r="A68" s="22" t="s">
        <v>241</v>
      </c>
      <c r="B68" s="22" t="s">
        <v>172</v>
      </c>
      <c r="C68" s="22"/>
      <c r="D68" s="15"/>
      <c r="E68" s="527" t="s">
        <v>16</v>
      </c>
      <c r="F68" s="527"/>
      <c r="G68" s="8"/>
    </row>
    <row r="69" spans="1:7" x14ac:dyDescent="0.2">
      <c r="B69" s="23"/>
      <c r="C69" s="23"/>
      <c r="D69" s="23"/>
      <c r="E69" s="23"/>
      <c r="F69" s="4"/>
      <c r="G69" s="8"/>
    </row>
    <row r="70" spans="1:7" x14ac:dyDescent="0.2">
      <c r="A70" s="440" t="s">
        <v>88</v>
      </c>
      <c r="B70" s="528" t="s">
        <v>259</v>
      </c>
      <c r="C70" s="528"/>
      <c r="D70" s="528"/>
      <c r="E70" s="23"/>
      <c r="F70" s="529" t="s">
        <v>271</v>
      </c>
      <c r="G70" s="529"/>
    </row>
    <row r="71" spans="1:7" x14ac:dyDescent="0.2">
      <c r="A71" s="441" t="s">
        <v>36</v>
      </c>
      <c r="B71" s="518" t="s">
        <v>270</v>
      </c>
      <c r="C71" s="518"/>
      <c r="D71" s="518"/>
      <c r="E71" s="15"/>
      <c r="F71" s="519" t="s">
        <v>51</v>
      </c>
      <c r="G71" s="519"/>
    </row>
  </sheetData>
  <mergeCells count="9">
    <mergeCell ref="A5:G5"/>
    <mergeCell ref="B71:D71"/>
    <mergeCell ref="F71:G71"/>
    <mergeCell ref="A11:A13"/>
    <mergeCell ref="D11:F11"/>
    <mergeCell ref="F12:F13"/>
    <mergeCell ref="E68:F68"/>
    <mergeCell ref="B70:D70"/>
    <mergeCell ref="F70:G70"/>
  </mergeCells>
  <pageMargins left="0.35433070866141736" right="0.11811023622047245" top="0.15748031496062992" bottom="0.11811023622047245" header="0" footer="0"/>
  <pageSetup paperSize="256" scale="94" orientation="portrait" horizontalDpi="4294967294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/>
  </sheetPr>
  <dimension ref="A1:K150"/>
  <sheetViews>
    <sheetView showWhiteSpace="0" view="pageBreakPreview" topLeftCell="A4" zoomScale="118" zoomScaleNormal="100" zoomScaleSheetLayoutView="118" zoomScalePageLayoutView="130" workbookViewId="0">
      <selection activeCell="E21" sqref="E21"/>
    </sheetView>
  </sheetViews>
  <sheetFormatPr defaultColWidth="9.28515625" defaultRowHeight="12.75" x14ac:dyDescent="0.2"/>
  <cols>
    <col min="1" max="1" width="17.85546875" style="15" customWidth="1"/>
    <col min="2" max="2" width="2.7109375" style="15" customWidth="1"/>
    <col min="3" max="3" width="27.7109375" style="15" customWidth="1"/>
    <col min="4" max="4" width="17.28515625" style="28" customWidth="1"/>
    <col min="5" max="5" width="12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8" t="s">
        <v>344</v>
      </c>
      <c r="B1" s="471"/>
      <c r="C1" s="471"/>
      <c r="D1" s="471"/>
      <c r="E1" s="471"/>
      <c r="F1" s="471"/>
      <c r="G1" s="471"/>
    </row>
    <row r="2" spans="1:11" x14ac:dyDescent="0.2">
      <c r="A2" s="478" t="s">
        <v>345</v>
      </c>
      <c r="B2" s="479"/>
      <c r="C2" s="479"/>
      <c r="D2" s="479"/>
      <c r="E2" s="479"/>
      <c r="F2" s="479"/>
      <c r="G2" s="479"/>
    </row>
    <row r="3" spans="1:11" x14ac:dyDescent="0.2">
      <c r="A3" s="480" t="s">
        <v>346</v>
      </c>
      <c r="B3" s="479"/>
      <c r="C3" s="479"/>
      <c r="D3" s="479"/>
      <c r="E3" s="479"/>
      <c r="F3" s="479"/>
      <c r="G3" s="479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11" ht="15" x14ac:dyDescent="0.25">
      <c r="A6" s="481"/>
      <c r="B6" s="481"/>
      <c r="C6" s="481"/>
      <c r="D6" s="481"/>
      <c r="E6" s="481"/>
      <c r="F6" s="481"/>
      <c r="G6" s="481"/>
    </row>
    <row r="7" spans="1:11" ht="15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511"/>
    </row>
    <row r="8" spans="1:11" ht="12" customHeight="1" x14ac:dyDescent="0.2">
      <c r="A8" s="486" t="s">
        <v>351</v>
      </c>
      <c r="B8" s="487" t="s">
        <v>352</v>
      </c>
      <c r="C8" s="488"/>
      <c r="D8" s="537" t="s">
        <v>363</v>
      </c>
      <c r="E8" s="537"/>
      <c r="F8" s="537"/>
      <c r="G8" s="477"/>
    </row>
    <row r="9" spans="1:11" ht="12" customHeight="1" x14ac:dyDescent="0.2">
      <c r="A9" s="486" t="s">
        <v>354</v>
      </c>
      <c r="B9" s="487" t="s">
        <v>355</v>
      </c>
      <c r="C9" s="488"/>
      <c r="D9" s="488"/>
      <c r="E9" s="488"/>
      <c r="F9" s="488"/>
      <c r="G9" s="477"/>
    </row>
    <row r="10" spans="1:11" ht="13.5" thickBot="1" x14ac:dyDescent="0.25">
      <c r="A10" s="513"/>
      <c r="B10" s="514"/>
      <c r="C10" s="514"/>
      <c r="D10" s="514"/>
      <c r="E10" s="514"/>
      <c r="F10" s="514"/>
      <c r="G10" s="514"/>
    </row>
    <row r="11" spans="1:11" ht="13.5" thickBot="1" x14ac:dyDescent="0.25">
      <c r="A11" s="520" t="s">
        <v>27</v>
      </c>
      <c r="B11" s="532"/>
      <c r="C11" s="533"/>
      <c r="D11" s="443" t="s">
        <v>15</v>
      </c>
      <c r="E11" s="448" t="s">
        <v>1</v>
      </c>
      <c r="F11" s="522" t="s">
        <v>329</v>
      </c>
      <c r="G11" s="523"/>
      <c r="H11" s="524"/>
      <c r="I11" s="444" t="s">
        <v>3</v>
      </c>
    </row>
    <row r="12" spans="1:11" x14ac:dyDescent="0.2">
      <c r="A12" s="521"/>
      <c r="B12" s="534"/>
      <c r="C12" s="538"/>
      <c r="D12" s="446" t="s">
        <v>0</v>
      </c>
      <c r="E12" s="449">
        <v>2022</v>
      </c>
      <c r="F12" s="245" t="s">
        <v>167</v>
      </c>
      <c r="G12" s="260" t="s">
        <v>168</v>
      </c>
      <c r="H12" s="525" t="s">
        <v>169</v>
      </c>
      <c r="I12" s="444">
        <v>2024</v>
      </c>
    </row>
    <row r="13" spans="1:11" x14ac:dyDescent="0.2">
      <c r="A13" s="521"/>
      <c r="B13" s="534"/>
      <c r="C13" s="538"/>
      <c r="D13" s="231"/>
      <c r="E13" s="449" t="s">
        <v>2</v>
      </c>
      <c r="F13" s="446" t="s">
        <v>2</v>
      </c>
      <c r="G13" s="445" t="s">
        <v>183</v>
      </c>
      <c r="H13" s="526"/>
      <c r="I13" s="447" t="s">
        <v>33</v>
      </c>
    </row>
    <row r="14" spans="1:11" s="61" customFormat="1" ht="13.5" thickBot="1" x14ac:dyDescent="0.25">
      <c r="A14" s="451" t="s">
        <v>28</v>
      </c>
      <c r="B14" s="452"/>
      <c r="C14" s="453"/>
      <c r="D14" s="452" t="s">
        <v>29</v>
      </c>
      <c r="E14" s="158" t="s">
        <v>30</v>
      </c>
      <c r="F14" s="452" t="s">
        <v>31</v>
      </c>
      <c r="G14" s="451" t="s">
        <v>32</v>
      </c>
      <c r="H14" s="158" t="s">
        <v>170</v>
      </c>
      <c r="I14" s="453" t="s">
        <v>171</v>
      </c>
      <c r="K14" s="457"/>
    </row>
    <row r="15" spans="1:11" s="61" customFormat="1" ht="12.6" customHeight="1" x14ac:dyDescent="0.2">
      <c r="A15" s="228" t="s">
        <v>4</v>
      </c>
      <c r="B15" s="100"/>
      <c r="C15" s="229"/>
      <c r="D15" s="62"/>
      <c r="E15" s="237"/>
      <c r="F15" s="62"/>
      <c r="G15" s="261"/>
      <c r="H15" s="237"/>
      <c r="I15" s="225"/>
      <c r="K15" s="457"/>
    </row>
    <row r="16" spans="1:11" s="61" customFormat="1" ht="12" customHeight="1" x14ac:dyDescent="0.2">
      <c r="A16" s="228" t="s">
        <v>5</v>
      </c>
      <c r="B16" s="100"/>
      <c r="C16" s="229"/>
      <c r="D16" s="232"/>
      <c r="E16" s="238"/>
      <c r="F16" s="63"/>
      <c r="G16" s="262"/>
      <c r="H16" s="238"/>
      <c r="I16" s="226"/>
      <c r="K16" s="457"/>
    </row>
    <row r="17" spans="1:11" s="61" customFormat="1" x14ac:dyDescent="0.2">
      <c r="A17" s="137" t="s">
        <v>54</v>
      </c>
      <c r="B17" s="101"/>
      <c r="C17" s="230"/>
      <c r="D17" s="233" t="s">
        <v>100</v>
      </c>
      <c r="E17" s="239">
        <v>5897087.3300000001</v>
      </c>
      <c r="F17" s="246">
        <v>3162479.66</v>
      </c>
      <c r="G17" s="264">
        <f t="shared" ref="G17:G27" si="0">+H17-F17</f>
        <v>4493820.34</v>
      </c>
      <c r="H17" s="264">
        <f>6702000+954300</f>
        <v>7656300</v>
      </c>
      <c r="I17" s="253">
        <v>8338000</v>
      </c>
      <c r="K17" s="457">
        <f>6679026+966645</f>
        <v>7645671</v>
      </c>
    </row>
    <row r="18" spans="1:11" s="61" customFormat="1" x14ac:dyDescent="0.2">
      <c r="A18" s="137" t="s">
        <v>193</v>
      </c>
      <c r="B18" s="101"/>
      <c r="C18" s="230"/>
      <c r="D18" s="233" t="s">
        <v>101</v>
      </c>
      <c r="E18" s="239">
        <v>453091</v>
      </c>
      <c r="F18" s="246">
        <v>257727.3</v>
      </c>
      <c r="G18" s="264">
        <f t="shared" si="0"/>
        <v>402272.7</v>
      </c>
      <c r="H18" s="264">
        <f>552000+108000</f>
        <v>660000</v>
      </c>
      <c r="I18" s="253">
        <v>744000</v>
      </c>
      <c r="K18" s="457">
        <v>213240</v>
      </c>
    </row>
    <row r="19" spans="1:11" s="61" customFormat="1" x14ac:dyDescent="0.2">
      <c r="A19" s="137" t="s">
        <v>40</v>
      </c>
      <c r="B19" s="101"/>
      <c r="C19" s="230"/>
      <c r="D19" s="233" t="s">
        <v>120</v>
      </c>
      <c r="E19" s="239">
        <v>97200</v>
      </c>
      <c r="F19" s="246">
        <v>48600</v>
      </c>
      <c r="G19" s="264">
        <f t="shared" si="0"/>
        <v>49400</v>
      </c>
      <c r="H19" s="264">
        <v>98000</v>
      </c>
      <c r="I19" s="253">
        <v>98000</v>
      </c>
      <c r="K19" s="457">
        <v>39630</v>
      </c>
    </row>
    <row r="20" spans="1:11" s="61" customFormat="1" x14ac:dyDescent="0.2">
      <c r="A20" s="137" t="s">
        <v>42</v>
      </c>
      <c r="B20" s="101"/>
      <c r="C20" s="230"/>
      <c r="D20" s="233" t="s">
        <v>102</v>
      </c>
      <c r="E20" s="239">
        <v>108000</v>
      </c>
      <c r="F20" s="246">
        <v>132000</v>
      </c>
      <c r="G20" s="264">
        <f t="shared" si="0"/>
        <v>42000</v>
      </c>
      <c r="H20" s="264">
        <f>138000+36000</f>
        <v>174000</v>
      </c>
      <c r="I20" s="253">
        <v>186000</v>
      </c>
      <c r="K20" s="457">
        <v>37311</v>
      </c>
    </row>
    <row r="21" spans="1:11" s="61" customFormat="1" x14ac:dyDescent="0.2">
      <c r="A21" s="137" t="s">
        <v>182</v>
      </c>
      <c r="B21" s="101"/>
      <c r="C21" s="230"/>
      <c r="D21" s="233" t="s">
        <v>158</v>
      </c>
      <c r="E21" s="239">
        <v>0</v>
      </c>
      <c r="F21" s="246">
        <v>0</v>
      </c>
      <c r="G21" s="264">
        <f t="shared" si="0"/>
        <v>0</v>
      </c>
      <c r="H21" s="264">
        <v>0</v>
      </c>
      <c r="I21" s="253">
        <v>0</v>
      </c>
      <c r="K21" s="457">
        <f>SUM(K17:K20)</f>
        <v>7935852</v>
      </c>
    </row>
    <row r="22" spans="1:11" s="61" customFormat="1" x14ac:dyDescent="0.2">
      <c r="A22" s="137" t="s">
        <v>95</v>
      </c>
      <c r="B22" s="101"/>
      <c r="C22" s="230"/>
      <c r="D22" s="233" t="s">
        <v>104</v>
      </c>
      <c r="E22" s="239">
        <f>45800+464352</f>
        <v>510152</v>
      </c>
      <c r="F22" s="246">
        <v>0</v>
      </c>
      <c r="G22" s="264">
        <f t="shared" si="0"/>
        <v>665300</v>
      </c>
      <c r="H22" s="264">
        <f>559000+106300</f>
        <v>665300</v>
      </c>
      <c r="I22" s="253">
        <v>695000</v>
      </c>
      <c r="K22" s="457"/>
    </row>
    <row r="23" spans="1:11" s="61" customFormat="1" x14ac:dyDescent="0.2">
      <c r="A23" s="137" t="s">
        <v>150</v>
      </c>
      <c r="B23" s="101"/>
      <c r="C23" s="230"/>
      <c r="D23" s="233" t="s">
        <v>127</v>
      </c>
      <c r="E23" s="239">
        <v>463591</v>
      </c>
      <c r="F23" s="246">
        <v>501005</v>
      </c>
      <c r="G23" s="264">
        <f t="shared" si="0"/>
        <v>164295</v>
      </c>
      <c r="H23" s="264">
        <f>559000+106300</f>
        <v>665300</v>
      </c>
      <c r="I23" s="253">
        <v>695000</v>
      </c>
      <c r="K23" s="457"/>
    </row>
    <row r="24" spans="1:11" s="61" customFormat="1" x14ac:dyDescent="0.2">
      <c r="A24" s="137" t="s">
        <v>10</v>
      </c>
      <c r="B24" s="101"/>
      <c r="C24" s="230"/>
      <c r="D24" s="233" t="s">
        <v>103</v>
      </c>
      <c r="E24" s="239">
        <v>105000</v>
      </c>
      <c r="F24" s="246">
        <v>0</v>
      </c>
      <c r="G24" s="264">
        <f t="shared" si="0"/>
        <v>145000</v>
      </c>
      <c r="H24" s="264">
        <f>115000+30000</f>
        <v>145000</v>
      </c>
      <c r="I24" s="253">
        <v>155000</v>
      </c>
      <c r="K24" s="457"/>
    </row>
    <row r="25" spans="1:11" s="61" customFormat="1" x14ac:dyDescent="0.2">
      <c r="A25" s="137" t="s">
        <v>160</v>
      </c>
      <c r="B25" s="101"/>
      <c r="C25" s="230"/>
      <c r="D25" s="233" t="s">
        <v>105</v>
      </c>
      <c r="E25" s="239">
        <v>490265.96</v>
      </c>
      <c r="F25" s="246">
        <v>295213.68</v>
      </c>
      <c r="G25" s="264">
        <f t="shared" si="0"/>
        <v>624086.32000000007</v>
      </c>
      <c r="H25" s="264">
        <f>804500+114800</f>
        <v>919300</v>
      </c>
      <c r="I25" s="253">
        <v>1001000</v>
      </c>
      <c r="K25" s="457">
        <f>+I17*0.12</f>
        <v>1000560</v>
      </c>
    </row>
    <row r="26" spans="1:11" s="61" customFormat="1" x14ac:dyDescent="0.2">
      <c r="A26" s="137" t="s">
        <v>57</v>
      </c>
      <c r="B26" s="101"/>
      <c r="C26" s="230"/>
      <c r="D26" s="233" t="s">
        <v>106</v>
      </c>
      <c r="E26" s="239">
        <v>84067.67</v>
      </c>
      <c r="F26" s="246">
        <v>49202.28</v>
      </c>
      <c r="G26" s="264">
        <f t="shared" si="0"/>
        <v>104597.72</v>
      </c>
      <c r="H26" s="264">
        <f>134500+19300</f>
        <v>153800</v>
      </c>
      <c r="I26" s="253">
        <v>167500</v>
      </c>
      <c r="K26" s="457">
        <f>+I17*0.02</f>
        <v>166760</v>
      </c>
    </row>
    <row r="27" spans="1:11" s="61" customFormat="1" x14ac:dyDescent="0.2">
      <c r="A27" s="137" t="s">
        <v>58</v>
      </c>
      <c r="B27" s="101"/>
      <c r="C27" s="230"/>
      <c r="D27" s="233" t="s">
        <v>107</v>
      </c>
      <c r="E27" s="239">
        <v>103413.61</v>
      </c>
      <c r="F27" s="246">
        <v>58802.28</v>
      </c>
      <c r="G27" s="264">
        <f t="shared" si="0"/>
        <v>130697.72</v>
      </c>
      <c r="H27" s="264">
        <f>151000+38500</f>
        <v>189500</v>
      </c>
      <c r="I27" s="253">
        <v>209000</v>
      </c>
      <c r="K27" s="457">
        <f>+I17*0.04</f>
        <v>333520</v>
      </c>
    </row>
    <row r="28" spans="1:11" s="61" customFormat="1" x14ac:dyDescent="0.2">
      <c r="A28" s="137" t="s">
        <v>188</v>
      </c>
      <c r="B28" s="101"/>
      <c r="C28" s="230"/>
      <c r="D28" s="233"/>
      <c r="E28" s="239"/>
      <c r="F28" s="246"/>
      <c r="G28" s="264"/>
      <c r="H28" s="264"/>
      <c r="I28" s="253"/>
      <c r="K28" s="457"/>
    </row>
    <row r="29" spans="1:11" s="61" customFormat="1" x14ac:dyDescent="0.2">
      <c r="A29" s="137" t="s">
        <v>189</v>
      </c>
      <c r="B29" s="101"/>
      <c r="C29" s="230"/>
      <c r="D29" s="233" t="s">
        <v>108</v>
      </c>
      <c r="E29" s="239">
        <v>21100</v>
      </c>
      <c r="F29" s="246">
        <v>12500</v>
      </c>
      <c r="G29" s="264">
        <f t="shared" ref="G29:G35" si="1">+H29-F29</f>
        <v>20900</v>
      </c>
      <c r="H29" s="264">
        <f>28000+5400</f>
        <v>33400</v>
      </c>
      <c r="I29" s="253">
        <v>38000</v>
      </c>
      <c r="K29" s="457"/>
    </row>
    <row r="30" spans="1:11" s="61" customFormat="1" x14ac:dyDescent="0.2">
      <c r="A30" s="137" t="s">
        <v>45</v>
      </c>
      <c r="B30" s="101"/>
      <c r="C30" s="230"/>
      <c r="D30" s="233" t="s">
        <v>128</v>
      </c>
      <c r="E30" s="239">
        <v>286045.31</v>
      </c>
      <c r="F30" s="246">
        <v>244150.61</v>
      </c>
      <c r="G30" s="264">
        <f t="shared" si="1"/>
        <v>255849.39</v>
      </c>
      <c r="H30" s="264">
        <v>500000</v>
      </c>
      <c r="I30" s="253">
        <v>479000</v>
      </c>
      <c r="K30" s="457"/>
    </row>
    <row r="31" spans="1:11" s="61" customFormat="1" x14ac:dyDescent="0.2">
      <c r="A31" s="137" t="s">
        <v>60</v>
      </c>
      <c r="B31" s="101"/>
      <c r="C31" s="230"/>
      <c r="D31" s="233" t="s">
        <v>129</v>
      </c>
      <c r="E31" s="240">
        <v>106500</v>
      </c>
      <c r="F31" s="247">
        <v>0</v>
      </c>
      <c r="G31" s="264">
        <f t="shared" si="1"/>
        <v>145000</v>
      </c>
      <c r="H31" s="264">
        <f>115000+30000</f>
        <v>145000</v>
      </c>
      <c r="I31" s="253">
        <v>155000</v>
      </c>
      <c r="K31" s="457"/>
    </row>
    <row r="32" spans="1:11" s="61" customFormat="1" x14ac:dyDescent="0.2">
      <c r="A32" s="137" t="s">
        <v>59</v>
      </c>
      <c r="B32" s="101"/>
      <c r="C32" s="230"/>
      <c r="D32" s="233" t="s">
        <v>130</v>
      </c>
      <c r="E32" s="240">
        <v>35000</v>
      </c>
      <c r="F32" s="247">
        <v>0</v>
      </c>
      <c r="G32" s="264">
        <f t="shared" si="1"/>
        <v>0</v>
      </c>
      <c r="H32" s="264">
        <v>0</v>
      </c>
      <c r="I32" s="253">
        <v>10000</v>
      </c>
      <c r="K32" s="457"/>
    </row>
    <row r="33" spans="1:11" s="61" customFormat="1" x14ac:dyDescent="0.2">
      <c r="A33" s="137" t="s">
        <v>190</v>
      </c>
      <c r="B33" s="101"/>
      <c r="C33" s="230"/>
      <c r="D33" s="233" t="s">
        <v>131</v>
      </c>
      <c r="E33" s="240">
        <v>0</v>
      </c>
      <c r="F33" s="247">
        <v>0</v>
      </c>
      <c r="G33" s="264">
        <f t="shared" si="1"/>
        <v>0</v>
      </c>
      <c r="H33" s="264">
        <v>0</v>
      </c>
      <c r="I33" s="253">
        <v>0</v>
      </c>
      <c r="K33" s="457"/>
    </row>
    <row r="34" spans="1:11" s="61" customFormat="1" x14ac:dyDescent="0.2">
      <c r="A34" s="137" t="s">
        <v>260</v>
      </c>
      <c r="B34" s="101"/>
      <c r="C34" s="230"/>
      <c r="D34" s="234" t="s">
        <v>261</v>
      </c>
      <c r="E34" s="241">
        <v>550000</v>
      </c>
      <c r="F34" s="248">
        <v>0</v>
      </c>
      <c r="G34" s="264">
        <f t="shared" si="1"/>
        <v>0</v>
      </c>
      <c r="H34" s="265">
        <v>0</v>
      </c>
      <c r="I34" s="254">
        <v>0</v>
      </c>
      <c r="K34" s="457"/>
    </row>
    <row r="35" spans="1:11" s="61" customFormat="1" ht="13.5" thickBot="1" x14ac:dyDescent="0.25">
      <c r="A35" s="137" t="s">
        <v>293</v>
      </c>
      <c r="B35" s="101"/>
      <c r="C35" s="230"/>
      <c r="D35" s="234" t="s">
        <v>292</v>
      </c>
      <c r="E35" s="241">
        <v>424000</v>
      </c>
      <c r="F35" s="248">
        <v>0</v>
      </c>
      <c r="G35" s="265">
        <f t="shared" si="1"/>
        <v>0</v>
      </c>
      <c r="H35" s="265">
        <v>0</v>
      </c>
      <c r="I35" s="254">
        <v>0</v>
      </c>
      <c r="K35" s="457"/>
    </row>
    <row r="36" spans="1:11" s="61" customFormat="1" ht="13.5" customHeight="1" thickBot="1" x14ac:dyDescent="0.25">
      <c r="A36" s="102" t="s">
        <v>75</v>
      </c>
      <c r="B36" s="96"/>
      <c r="C36" s="115"/>
      <c r="D36" s="227"/>
      <c r="E36" s="116">
        <f>SUM(E17:E35)</f>
        <v>9734513.8800000008</v>
      </c>
      <c r="F36" s="116">
        <f>SUM(F17:F35)</f>
        <v>4761680.8100000005</v>
      </c>
      <c r="G36" s="116">
        <f>SUM(G17:G35)</f>
        <v>7243219.1899999995</v>
      </c>
      <c r="H36" s="116">
        <f>SUM(H17:H35)</f>
        <v>12004900</v>
      </c>
      <c r="I36" s="116">
        <f>SUM(I17:I35)</f>
        <v>12970500</v>
      </c>
      <c r="K36" s="457"/>
    </row>
    <row r="37" spans="1:11" s="61" customFormat="1" x14ac:dyDescent="0.2">
      <c r="A37" s="228" t="s">
        <v>7</v>
      </c>
      <c r="B37" s="100"/>
      <c r="C37" s="229"/>
      <c r="D37" s="235"/>
      <c r="E37" s="242"/>
      <c r="F37" s="249"/>
      <c r="G37" s="266"/>
      <c r="H37" s="242"/>
      <c r="I37" s="255"/>
      <c r="K37" s="457"/>
    </row>
    <row r="38" spans="1:11" s="61" customFormat="1" x14ac:dyDescent="0.2">
      <c r="A38" s="137" t="s">
        <v>8</v>
      </c>
      <c r="B38" s="101"/>
      <c r="C38" s="230"/>
      <c r="D38" s="233" t="s">
        <v>109</v>
      </c>
      <c r="E38" s="239">
        <v>895675.44</v>
      </c>
      <c r="F38" s="246">
        <v>306360.40000000002</v>
      </c>
      <c r="G38" s="239">
        <f>+H38-F38</f>
        <v>655639.6</v>
      </c>
      <c r="H38" s="256">
        <v>962000</v>
      </c>
      <c r="I38" s="256">
        <v>1500000</v>
      </c>
      <c r="K38" s="457"/>
    </row>
    <row r="39" spans="1:11" s="61" customFormat="1" x14ac:dyDescent="0.2">
      <c r="A39" s="137" t="s">
        <v>281</v>
      </c>
      <c r="B39" s="101"/>
      <c r="C39" s="230"/>
      <c r="D39" s="233" t="s">
        <v>110</v>
      </c>
      <c r="E39" s="239">
        <v>97635</v>
      </c>
      <c r="F39" s="246">
        <v>61000</v>
      </c>
      <c r="G39" s="239">
        <f>+H39-F39</f>
        <v>339000</v>
      </c>
      <c r="H39" s="256">
        <v>400000</v>
      </c>
      <c r="I39" s="256">
        <v>200000</v>
      </c>
      <c r="K39" s="457"/>
    </row>
    <row r="40" spans="1:11" s="61" customFormat="1" x14ac:dyDescent="0.2">
      <c r="A40" s="137" t="s">
        <v>13</v>
      </c>
      <c r="B40" s="101"/>
      <c r="C40" s="230"/>
      <c r="D40" s="233" t="s">
        <v>111</v>
      </c>
      <c r="E40" s="239">
        <v>413556</v>
      </c>
      <c r="F40" s="246">
        <v>224901</v>
      </c>
      <c r="G40" s="239">
        <f>+H40-F40</f>
        <v>225099</v>
      </c>
      <c r="H40" s="256">
        <v>450000</v>
      </c>
      <c r="I40" s="256">
        <v>650000</v>
      </c>
      <c r="K40" s="457"/>
    </row>
    <row r="41" spans="1:11" s="61" customFormat="1" x14ac:dyDescent="0.2">
      <c r="A41" s="137" t="s">
        <v>61</v>
      </c>
      <c r="B41" s="101"/>
      <c r="C41" s="230"/>
      <c r="D41" s="233" t="s">
        <v>132</v>
      </c>
      <c r="E41" s="239">
        <v>0</v>
      </c>
      <c r="F41" s="246">
        <v>0</v>
      </c>
      <c r="G41" s="263">
        <v>0</v>
      </c>
      <c r="H41" s="239">
        <v>0</v>
      </c>
      <c r="I41" s="256">
        <v>0</v>
      </c>
      <c r="K41" s="457"/>
    </row>
    <row r="42" spans="1:11" s="61" customFormat="1" x14ac:dyDescent="0.2">
      <c r="A42" s="137" t="s">
        <v>290</v>
      </c>
      <c r="B42" s="101"/>
      <c r="C42" s="230"/>
      <c r="D42" s="233" t="s">
        <v>291</v>
      </c>
      <c r="E42" s="239">
        <v>0</v>
      </c>
      <c r="F42" s="246">
        <v>0</v>
      </c>
      <c r="G42" s="263">
        <v>0</v>
      </c>
      <c r="H42" s="239">
        <v>0</v>
      </c>
      <c r="I42" s="256">
        <v>0</v>
      </c>
      <c r="K42" s="457"/>
    </row>
    <row r="43" spans="1:11" s="61" customFormat="1" x14ac:dyDescent="0.2">
      <c r="A43" s="137" t="s">
        <v>294</v>
      </c>
      <c r="B43" s="101"/>
      <c r="C43" s="230"/>
      <c r="D43" s="233" t="s">
        <v>295</v>
      </c>
      <c r="E43" s="239">
        <v>0</v>
      </c>
      <c r="F43" s="246">
        <v>0</v>
      </c>
      <c r="G43" s="263">
        <v>0</v>
      </c>
      <c r="H43" s="239">
        <v>0</v>
      </c>
      <c r="I43" s="256">
        <v>0</v>
      </c>
      <c r="K43" s="457"/>
    </row>
    <row r="44" spans="1:11" s="61" customFormat="1" x14ac:dyDescent="0.2">
      <c r="A44" s="137" t="s">
        <v>62</v>
      </c>
      <c r="B44" s="101"/>
      <c r="C44" s="230"/>
      <c r="D44" s="233" t="s">
        <v>133</v>
      </c>
      <c r="E44" s="239">
        <v>0</v>
      </c>
      <c r="F44" s="246">
        <v>0</v>
      </c>
      <c r="G44" s="263">
        <v>0</v>
      </c>
      <c r="H44" s="239">
        <v>0</v>
      </c>
      <c r="I44" s="256">
        <v>0</v>
      </c>
      <c r="K44" s="457"/>
    </row>
    <row r="45" spans="1:11" s="61" customFormat="1" x14ac:dyDescent="0.2">
      <c r="A45" s="137" t="s">
        <v>163</v>
      </c>
      <c r="B45" s="101"/>
      <c r="C45" s="230"/>
      <c r="D45" s="233" t="s">
        <v>122</v>
      </c>
      <c r="E45" s="239">
        <v>2222545</v>
      </c>
      <c r="F45" s="246">
        <v>1241400</v>
      </c>
      <c r="G45" s="239">
        <f>+H45-F45</f>
        <v>1258600</v>
      </c>
      <c r="H45" s="239">
        <v>2500000</v>
      </c>
      <c r="I45" s="256">
        <v>3000000</v>
      </c>
      <c r="K45" s="457"/>
    </row>
    <row r="46" spans="1:11" s="61" customFormat="1" x14ac:dyDescent="0.2">
      <c r="A46" s="137" t="s">
        <v>164</v>
      </c>
      <c r="B46" s="101"/>
      <c r="C46" s="230"/>
      <c r="D46" s="233" t="s">
        <v>112</v>
      </c>
      <c r="E46" s="239">
        <v>646023</v>
      </c>
      <c r="F46" s="246">
        <v>321865</v>
      </c>
      <c r="G46" s="239">
        <f>+H46-F46</f>
        <v>413135</v>
      </c>
      <c r="H46" s="239">
        <v>735000</v>
      </c>
      <c r="I46" s="256">
        <v>735000</v>
      </c>
      <c r="K46" s="457"/>
    </row>
    <row r="47" spans="1:11" s="61" customFormat="1" x14ac:dyDescent="0.2">
      <c r="A47" s="137" t="s">
        <v>17</v>
      </c>
      <c r="B47" s="101"/>
      <c r="C47" s="230"/>
      <c r="D47" s="233" t="s">
        <v>123</v>
      </c>
      <c r="E47" s="239">
        <v>0</v>
      </c>
      <c r="F47" s="246">
        <v>0</v>
      </c>
      <c r="G47" s="263">
        <v>0</v>
      </c>
      <c r="H47" s="239">
        <v>0</v>
      </c>
      <c r="I47" s="256">
        <v>0</v>
      </c>
      <c r="K47" s="457"/>
    </row>
    <row r="48" spans="1:11" s="61" customFormat="1" x14ac:dyDescent="0.2">
      <c r="A48" s="137" t="s">
        <v>11</v>
      </c>
      <c r="B48" s="101"/>
      <c r="C48" s="230"/>
      <c r="D48" s="233" t="s">
        <v>134</v>
      </c>
      <c r="E48" s="239">
        <v>0</v>
      </c>
      <c r="F48" s="246">
        <v>0</v>
      </c>
      <c r="G48" s="263">
        <v>0</v>
      </c>
      <c r="H48" s="239">
        <v>0</v>
      </c>
      <c r="I48" s="256">
        <v>0</v>
      </c>
      <c r="K48" s="457"/>
    </row>
    <row r="49" spans="1:11" s="61" customFormat="1" x14ac:dyDescent="0.2">
      <c r="A49" s="137" t="s">
        <v>165</v>
      </c>
      <c r="B49" s="101"/>
      <c r="C49" s="230"/>
      <c r="D49" s="233" t="s">
        <v>113</v>
      </c>
      <c r="E49" s="239">
        <v>0</v>
      </c>
      <c r="F49" s="246">
        <v>0</v>
      </c>
      <c r="G49" s="239">
        <f t="shared" ref="G49:G56" si="2">+H49-F49</f>
        <v>5000</v>
      </c>
      <c r="H49" s="239">
        <v>5000</v>
      </c>
      <c r="I49" s="256">
        <v>0</v>
      </c>
      <c r="K49" s="457"/>
    </row>
    <row r="50" spans="1:11" s="61" customFormat="1" x14ac:dyDescent="0.2">
      <c r="A50" s="137" t="s">
        <v>166</v>
      </c>
      <c r="B50" s="101"/>
      <c r="C50" s="230"/>
      <c r="D50" s="233" t="s">
        <v>114</v>
      </c>
      <c r="E50" s="239">
        <v>104058.62</v>
      </c>
      <c r="F50" s="246">
        <v>50417.440000000002</v>
      </c>
      <c r="G50" s="239">
        <f t="shared" si="2"/>
        <v>129582.56</v>
      </c>
      <c r="H50" s="239">
        <v>180000</v>
      </c>
      <c r="I50" s="256">
        <v>150000</v>
      </c>
      <c r="K50" s="457"/>
    </row>
    <row r="51" spans="1:11" s="61" customFormat="1" x14ac:dyDescent="0.2">
      <c r="A51" s="137" t="s">
        <v>277</v>
      </c>
      <c r="B51" s="101"/>
      <c r="C51" s="230"/>
      <c r="D51" s="233" t="s">
        <v>278</v>
      </c>
      <c r="E51" s="239">
        <v>40000</v>
      </c>
      <c r="F51" s="246">
        <v>0</v>
      </c>
      <c r="G51" s="239">
        <f t="shared" si="2"/>
        <v>100000</v>
      </c>
      <c r="H51" s="239">
        <v>100000</v>
      </c>
      <c r="I51" s="256">
        <v>0</v>
      </c>
      <c r="K51" s="457"/>
    </row>
    <row r="52" spans="1:11" s="61" customFormat="1" x14ac:dyDescent="0.2">
      <c r="A52" s="137" t="s">
        <v>280</v>
      </c>
      <c r="B52" s="101"/>
      <c r="C52" s="230"/>
      <c r="D52" s="233" t="s">
        <v>279</v>
      </c>
      <c r="E52" s="239">
        <v>0</v>
      </c>
      <c r="F52" s="246">
        <v>0</v>
      </c>
      <c r="G52" s="239">
        <f t="shared" si="2"/>
        <v>100000</v>
      </c>
      <c r="H52" s="239">
        <v>100000</v>
      </c>
      <c r="I52" s="256">
        <v>100000</v>
      </c>
      <c r="K52" s="457"/>
    </row>
    <row r="53" spans="1:11" s="61" customFormat="1" x14ac:dyDescent="0.2">
      <c r="A53" s="137" t="s">
        <v>67</v>
      </c>
      <c r="B53" s="101"/>
      <c r="C53" s="230"/>
      <c r="D53" s="233" t="s">
        <v>142</v>
      </c>
      <c r="E53" s="239">
        <v>5361000</v>
      </c>
      <c r="F53" s="250">
        <v>1120000</v>
      </c>
      <c r="G53" s="239">
        <f t="shared" si="2"/>
        <v>2480000</v>
      </c>
      <c r="H53" s="239">
        <v>3600000</v>
      </c>
      <c r="I53" s="256">
        <v>3696000</v>
      </c>
      <c r="K53" s="457"/>
    </row>
    <row r="54" spans="1:11" s="61" customFormat="1" x14ac:dyDescent="0.2">
      <c r="A54" s="137" t="s">
        <v>90</v>
      </c>
      <c r="B54" s="101"/>
      <c r="C54" s="230"/>
      <c r="D54" s="233" t="s">
        <v>140</v>
      </c>
      <c r="E54" s="239">
        <v>394040.01</v>
      </c>
      <c r="F54" s="246">
        <v>261606.64</v>
      </c>
      <c r="G54" s="239">
        <f t="shared" si="2"/>
        <v>138393.35999999999</v>
      </c>
      <c r="H54" s="239">
        <v>400000</v>
      </c>
      <c r="I54" s="256">
        <v>400000</v>
      </c>
      <c r="K54" s="457"/>
    </row>
    <row r="55" spans="1:11" s="61" customFormat="1" x14ac:dyDescent="0.2">
      <c r="A55" s="137" t="s">
        <v>66</v>
      </c>
      <c r="B55" s="101"/>
      <c r="C55" s="230"/>
      <c r="D55" s="233" t="s">
        <v>139</v>
      </c>
      <c r="E55" s="239">
        <v>9521436</v>
      </c>
      <c r="F55" s="246">
        <v>2930471</v>
      </c>
      <c r="G55" s="239">
        <f t="shared" si="2"/>
        <v>6468017.5999999996</v>
      </c>
      <c r="H55" s="239">
        <v>9398488.5999999996</v>
      </c>
      <c r="I55" s="256">
        <v>12000000</v>
      </c>
      <c r="K55" s="457"/>
    </row>
    <row r="56" spans="1:11" s="61" customFormat="1" x14ac:dyDescent="0.2">
      <c r="A56" s="137" t="s">
        <v>239</v>
      </c>
      <c r="B56" s="101"/>
      <c r="C56" s="230"/>
      <c r="D56" s="372" t="s">
        <v>124</v>
      </c>
      <c r="E56" s="239">
        <v>8000</v>
      </c>
      <c r="F56" s="246">
        <v>1900</v>
      </c>
      <c r="G56" s="239">
        <f t="shared" si="2"/>
        <v>48100</v>
      </c>
      <c r="H56" s="239">
        <v>50000</v>
      </c>
      <c r="I56" s="256">
        <v>176000</v>
      </c>
      <c r="K56" s="457"/>
    </row>
    <row r="57" spans="1:11" s="61" customFormat="1" x14ac:dyDescent="0.2">
      <c r="A57" s="137" t="s">
        <v>308</v>
      </c>
      <c r="B57" s="101"/>
      <c r="C57" s="230"/>
      <c r="D57" s="233" t="s">
        <v>148</v>
      </c>
      <c r="E57" s="239">
        <v>198000</v>
      </c>
      <c r="F57" s="246">
        <v>0</v>
      </c>
      <c r="G57" s="263">
        <v>0</v>
      </c>
      <c r="H57" s="239">
        <v>0</v>
      </c>
      <c r="I57" s="256">
        <v>300000</v>
      </c>
      <c r="K57" s="457"/>
    </row>
    <row r="58" spans="1:11" s="61" customFormat="1" x14ac:dyDescent="0.2">
      <c r="A58" s="137" t="s">
        <v>191</v>
      </c>
      <c r="B58" s="101"/>
      <c r="C58" s="230"/>
      <c r="D58" s="233"/>
      <c r="E58" s="239"/>
      <c r="F58" s="246"/>
      <c r="G58" s="263"/>
      <c r="H58" s="239"/>
      <c r="I58" s="256"/>
      <c r="K58" s="457"/>
    </row>
    <row r="59" spans="1:11" s="61" customFormat="1" x14ac:dyDescent="0.2">
      <c r="A59" s="137" t="s">
        <v>192</v>
      </c>
      <c r="B59" s="101"/>
      <c r="C59" s="230"/>
      <c r="D59" s="233" t="s">
        <v>115</v>
      </c>
      <c r="E59" s="239">
        <v>124760</v>
      </c>
      <c r="F59" s="246">
        <v>48900</v>
      </c>
      <c r="G59" s="239">
        <f t="shared" ref="G59:G64" si="3">+H59-F59</f>
        <v>251100</v>
      </c>
      <c r="H59" s="239">
        <v>300000</v>
      </c>
      <c r="I59" s="256">
        <v>0</v>
      </c>
      <c r="K59" s="457"/>
    </row>
    <row r="60" spans="1:11" s="61" customFormat="1" x14ac:dyDescent="0.2">
      <c r="A60" s="137" t="s">
        <v>311</v>
      </c>
      <c r="B60" s="101"/>
      <c r="C60" s="230"/>
      <c r="D60" s="233" t="s">
        <v>312</v>
      </c>
      <c r="E60" s="239">
        <v>2600000</v>
      </c>
      <c r="F60" s="246">
        <v>0</v>
      </c>
      <c r="G60" s="239">
        <f t="shared" si="3"/>
        <v>0</v>
      </c>
      <c r="H60" s="239">
        <v>0</v>
      </c>
      <c r="I60" s="256">
        <v>0</v>
      </c>
      <c r="K60" s="457"/>
    </row>
    <row r="61" spans="1:11" s="61" customFormat="1" x14ac:dyDescent="0.2">
      <c r="A61" s="137" t="s">
        <v>307</v>
      </c>
      <c r="B61" s="101"/>
      <c r="C61" s="230"/>
      <c r="D61" s="233" t="s">
        <v>305</v>
      </c>
      <c r="E61" s="243">
        <v>4000000</v>
      </c>
      <c r="F61" s="251">
        <v>4000000</v>
      </c>
      <c r="G61" s="239">
        <f t="shared" si="3"/>
        <v>0</v>
      </c>
      <c r="H61" s="243">
        <v>4000000</v>
      </c>
      <c r="I61" s="257">
        <v>4500000</v>
      </c>
      <c r="K61" s="457"/>
    </row>
    <row r="62" spans="1:11" s="61" customFormat="1" x14ac:dyDescent="0.2">
      <c r="A62" s="137" t="s">
        <v>21</v>
      </c>
      <c r="B62" s="101"/>
      <c r="C62" s="230"/>
      <c r="D62" s="233" t="s">
        <v>144</v>
      </c>
      <c r="E62" s="243">
        <v>22500</v>
      </c>
      <c r="F62" s="251">
        <v>22500</v>
      </c>
      <c r="G62" s="239">
        <f t="shared" si="3"/>
        <v>7500</v>
      </c>
      <c r="H62" s="243">
        <v>30000</v>
      </c>
      <c r="I62" s="257">
        <v>30000</v>
      </c>
      <c r="K62" s="457"/>
    </row>
    <row r="63" spans="1:11" s="61" customFormat="1" ht="12.75" customHeight="1" x14ac:dyDescent="0.2">
      <c r="A63" s="137" t="s">
        <v>63</v>
      </c>
      <c r="B63" s="101"/>
      <c r="C63" s="230"/>
      <c r="D63" s="233" t="s">
        <v>136</v>
      </c>
      <c r="E63" s="239">
        <v>0</v>
      </c>
      <c r="F63" s="246">
        <v>0</v>
      </c>
      <c r="G63" s="239">
        <f t="shared" si="3"/>
        <v>80000</v>
      </c>
      <c r="H63" s="239">
        <v>80000</v>
      </c>
      <c r="I63" s="256">
        <v>80000</v>
      </c>
      <c r="K63" s="457"/>
    </row>
    <row r="64" spans="1:11" s="61" customFormat="1" ht="12.75" customHeight="1" x14ac:dyDescent="0.2">
      <c r="A64" s="137" t="s">
        <v>64</v>
      </c>
      <c r="B64" s="101"/>
      <c r="C64" s="230"/>
      <c r="D64" s="233" t="s">
        <v>137</v>
      </c>
      <c r="E64" s="240">
        <v>700000</v>
      </c>
      <c r="F64" s="247">
        <v>0</v>
      </c>
      <c r="G64" s="239">
        <f t="shared" si="3"/>
        <v>700000</v>
      </c>
      <c r="H64" s="240">
        <v>700000</v>
      </c>
      <c r="I64" s="258">
        <v>700000</v>
      </c>
      <c r="K64" s="457"/>
    </row>
    <row r="65" spans="1:11" s="61" customFormat="1" ht="12.75" customHeight="1" x14ac:dyDescent="0.2">
      <c r="A65" s="136" t="s">
        <v>200</v>
      </c>
      <c r="B65" s="85"/>
      <c r="C65" s="85"/>
      <c r="D65" s="181"/>
      <c r="E65" s="241"/>
      <c r="F65" s="248"/>
      <c r="G65" s="424"/>
      <c r="H65" s="241"/>
      <c r="I65" s="423"/>
      <c r="K65" s="457"/>
    </row>
    <row r="66" spans="1:11" s="61" customFormat="1" ht="12.75" customHeight="1" x14ac:dyDescent="0.2">
      <c r="A66" s="136" t="s">
        <v>201</v>
      </c>
      <c r="B66" s="85"/>
      <c r="C66" s="85"/>
      <c r="D66" s="181" t="s">
        <v>159</v>
      </c>
      <c r="E66" s="241">
        <v>0</v>
      </c>
      <c r="F66" s="248">
        <v>0</v>
      </c>
      <c r="G66" s="239">
        <f>+H66-F66</f>
        <v>1140000</v>
      </c>
      <c r="H66" s="241">
        <v>1140000</v>
      </c>
      <c r="I66" s="423">
        <v>600000</v>
      </c>
      <c r="K66" s="457"/>
    </row>
    <row r="67" spans="1:11" s="61" customFormat="1" ht="12.75" customHeight="1" thickBot="1" x14ac:dyDescent="0.25">
      <c r="A67" s="137" t="s">
        <v>65</v>
      </c>
      <c r="B67" s="101"/>
      <c r="C67" s="230"/>
      <c r="D67" s="234" t="s">
        <v>138</v>
      </c>
      <c r="E67" s="244">
        <v>0</v>
      </c>
      <c r="F67" s="252">
        <v>4624</v>
      </c>
      <c r="G67" s="267">
        <f>+H67-F67</f>
        <v>95376</v>
      </c>
      <c r="H67" s="268">
        <v>100000</v>
      </c>
      <c r="I67" s="259">
        <v>0</v>
      </c>
      <c r="K67" s="457"/>
    </row>
    <row r="68" spans="1:11" s="61" customFormat="1" ht="12" customHeight="1" thickBot="1" x14ac:dyDescent="0.25">
      <c r="A68" s="103" t="s">
        <v>194</v>
      </c>
      <c r="B68" s="109"/>
      <c r="C68" s="104"/>
      <c r="D68" s="236"/>
      <c r="E68" s="87">
        <f>SUM(E38:E67)</f>
        <v>27349229.07</v>
      </c>
      <c r="F68" s="88">
        <f>SUM(F38:F67)</f>
        <v>10595945.48</v>
      </c>
      <c r="G68" s="87">
        <f>SUM(G38:G67)</f>
        <v>14634543.120000001</v>
      </c>
      <c r="H68" s="87">
        <f>SUM(H38:H67)</f>
        <v>25230488.600000001</v>
      </c>
      <c r="I68" s="87">
        <f>SUM(I38:I67)</f>
        <v>28817000</v>
      </c>
      <c r="K68" s="457"/>
    </row>
    <row r="69" spans="1:11" ht="12.75" customHeight="1" x14ac:dyDescent="0.2">
      <c r="A69" s="8"/>
      <c r="B69" s="8"/>
      <c r="C69" s="8"/>
      <c r="D69" s="9"/>
      <c r="E69" s="6"/>
      <c r="F69" s="6"/>
      <c r="G69" s="6"/>
      <c r="H69" s="6"/>
      <c r="I69" s="6" t="s">
        <v>184</v>
      </c>
    </row>
    <row r="70" spans="1:11" ht="12.75" customHeight="1" x14ac:dyDescent="0.2">
      <c r="A70" s="8"/>
      <c r="B70" s="8"/>
      <c r="C70" s="8"/>
      <c r="D70" s="9"/>
      <c r="E70" s="6"/>
      <c r="F70" s="6"/>
      <c r="G70" s="6"/>
      <c r="H70" s="6"/>
      <c r="I70" s="6"/>
    </row>
    <row r="71" spans="1:11" ht="12.75" customHeight="1" x14ac:dyDescent="0.2">
      <c r="A71" s="8"/>
      <c r="B71" s="8"/>
      <c r="C71" s="8"/>
      <c r="D71" s="9"/>
      <c r="E71" s="6"/>
      <c r="F71" s="6"/>
      <c r="G71" s="6"/>
      <c r="H71" s="6"/>
      <c r="I71" s="6"/>
    </row>
    <row r="72" spans="1:11" ht="12.75" customHeight="1" x14ac:dyDescent="0.2">
      <c r="A72" s="8"/>
      <c r="B72" s="8"/>
      <c r="C72" s="8"/>
      <c r="D72" s="9"/>
      <c r="E72" s="6"/>
      <c r="F72" s="6"/>
      <c r="G72" s="6"/>
      <c r="H72" s="6"/>
      <c r="I72" s="460" t="s">
        <v>330</v>
      </c>
    </row>
    <row r="73" spans="1:11" ht="10.5" customHeight="1" x14ac:dyDescent="0.2">
      <c r="A73" s="14" t="s">
        <v>162</v>
      </c>
      <c r="B73" s="14"/>
      <c r="C73" s="14"/>
      <c r="D73" s="15"/>
      <c r="E73" s="15"/>
      <c r="F73" s="15"/>
      <c r="G73" s="15"/>
      <c r="H73" s="15"/>
      <c r="I73" s="15"/>
    </row>
    <row r="74" spans="1:11" ht="9" customHeight="1" x14ac:dyDescent="0.2">
      <c r="D74" s="15"/>
      <c r="E74" s="15"/>
      <c r="F74" s="15"/>
      <c r="G74" s="15"/>
      <c r="H74" s="15"/>
      <c r="I74" s="15"/>
    </row>
    <row r="75" spans="1:11" ht="15" customHeight="1" x14ac:dyDescent="0.2">
      <c r="A75" s="536" t="s">
        <v>25</v>
      </c>
      <c r="B75" s="536"/>
      <c r="C75" s="536"/>
      <c r="D75" s="536"/>
      <c r="E75" s="536"/>
      <c r="F75" s="536"/>
      <c r="G75" s="536"/>
      <c r="H75" s="536"/>
      <c r="I75" s="536"/>
    </row>
    <row r="76" spans="1:11" ht="14.25" customHeight="1" x14ac:dyDescent="0.2">
      <c r="A76" s="536" t="s">
        <v>26</v>
      </c>
      <c r="B76" s="536"/>
      <c r="C76" s="536"/>
      <c r="D76" s="536"/>
      <c r="E76" s="536"/>
      <c r="F76" s="536"/>
      <c r="G76" s="536"/>
      <c r="H76" s="536"/>
      <c r="I76" s="536"/>
    </row>
    <row r="77" spans="1:11" ht="9.75" customHeight="1" x14ac:dyDescent="0.2">
      <c r="D77" s="15"/>
      <c r="E77" s="15"/>
      <c r="F77" s="15"/>
      <c r="G77" s="15"/>
      <c r="H77" s="15"/>
      <c r="I77" s="15"/>
    </row>
    <row r="78" spans="1:11" ht="12.75" customHeight="1" x14ac:dyDescent="0.2">
      <c r="A78" s="1"/>
      <c r="B78" s="1"/>
      <c r="C78" s="1"/>
      <c r="D78" s="15"/>
      <c r="E78" s="15"/>
      <c r="F78" s="15"/>
      <c r="G78" s="15"/>
      <c r="H78" s="15"/>
      <c r="I78" s="15"/>
    </row>
    <row r="79" spans="1:11" ht="10.5" customHeight="1" x14ac:dyDescent="0.2">
      <c r="A79" s="1" t="s">
        <v>91</v>
      </c>
      <c r="B79" s="23"/>
      <c r="C79" s="23"/>
      <c r="D79" s="15"/>
      <c r="E79" s="15"/>
      <c r="F79" s="15"/>
      <c r="G79" s="15"/>
      <c r="H79" s="15"/>
      <c r="I79" s="15"/>
    </row>
    <row r="80" spans="1:11" ht="9" customHeight="1" x14ac:dyDescent="0.2">
      <c r="A80" s="4"/>
      <c r="B80" s="23"/>
      <c r="C80" s="23"/>
      <c r="D80" s="15"/>
      <c r="E80" s="15"/>
      <c r="F80" s="15"/>
      <c r="G80" s="8"/>
      <c r="H80" s="15"/>
      <c r="I80" s="15"/>
    </row>
    <row r="81" spans="1:11" ht="8.25" customHeight="1" thickBot="1" x14ac:dyDescent="0.25">
      <c r="A81" s="8"/>
      <c r="B81" s="8"/>
      <c r="C81" s="8"/>
      <c r="D81" s="9"/>
      <c r="E81" s="6"/>
      <c r="F81" s="6"/>
      <c r="G81" s="269"/>
      <c r="H81" s="269"/>
      <c r="I81" s="269"/>
    </row>
    <row r="82" spans="1:11" ht="13.5" thickBot="1" x14ac:dyDescent="0.25">
      <c r="A82" s="520" t="s">
        <v>27</v>
      </c>
      <c r="B82" s="532"/>
      <c r="C82" s="532"/>
      <c r="D82" s="448" t="s">
        <v>15</v>
      </c>
      <c r="E82" s="443" t="s">
        <v>1</v>
      </c>
      <c r="F82" s="522" t="s">
        <v>329</v>
      </c>
      <c r="G82" s="523"/>
      <c r="H82" s="524"/>
      <c r="I82" s="444" t="s">
        <v>3</v>
      </c>
    </row>
    <row r="83" spans="1:11" x14ac:dyDescent="0.2">
      <c r="A83" s="521"/>
      <c r="B83" s="534"/>
      <c r="C83" s="534"/>
      <c r="D83" s="449" t="s">
        <v>0</v>
      </c>
      <c r="E83" s="446">
        <v>2022</v>
      </c>
      <c r="F83" s="156" t="s">
        <v>167</v>
      </c>
      <c r="G83" s="245" t="s">
        <v>168</v>
      </c>
      <c r="H83" s="525" t="s">
        <v>169</v>
      </c>
      <c r="I83" s="447">
        <v>2024</v>
      </c>
    </row>
    <row r="84" spans="1:11" x14ac:dyDescent="0.2">
      <c r="A84" s="521"/>
      <c r="B84" s="534"/>
      <c r="C84" s="534"/>
      <c r="D84" s="180"/>
      <c r="E84" s="446" t="s">
        <v>2</v>
      </c>
      <c r="F84" s="449" t="s">
        <v>2</v>
      </c>
      <c r="G84" s="446" t="s">
        <v>183</v>
      </c>
      <c r="H84" s="526"/>
      <c r="I84" s="447" t="s">
        <v>33</v>
      </c>
    </row>
    <row r="85" spans="1:11" s="61" customFormat="1" ht="13.5" thickBot="1" x14ac:dyDescent="0.25">
      <c r="A85" s="451" t="s">
        <v>28</v>
      </c>
      <c r="B85" s="452"/>
      <c r="C85" s="452"/>
      <c r="D85" s="158" t="s">
        <v>29</v>
      </c>
      <c r="E85" s="452" t="s">
        <v>30</v>
      </c>
      <c r="F85" s="158" t="s">
        <v>31</v>
      </c>
      <c r="G85" s="452" t="s">
        <v>32</v>
      </c>
      <c r="H85" s="158" t="s">
        <v>170</v>
      </c>
      <c r="I85" s="453" t="s">
        <v>171</v>
      </c>
      <c r="K85" s="457"/>
    </row>
    <row r="86" spans="1:11" ht="12" customHeight="1" x14ac:dyDescent="0.2">
      <c r="A86" s="163" t="s">
        <v>195</v>
      </c>
      <c r="B86" s="4"/>
      <c r="C86" s="4"/>
      <c r="D86" s="271"/>
      <c r="E86" s="273">
        <f>E68</f>
        <v>27349229.07</v>
      </c>
      <c r="F86" s="276">
        <f>F68</f>
        <v>10595945.48</v>
      </c>
      <c r="G86" s="273">
        <f>G68</f>
        <v>14634543.120000001</v>
      </c>
      <c r="H86" s="276">
        <f>H68</f>
        <v>25230488.600000001</v>
      </c>
      <c r="I86" s="366">
        <f>I68</f>
        <v>28817000</v>
      </c>
    </row>
    <row r="87" spans="1:11" ht="12.75" customHeight="1" x14ac:dyDescent="0.2">
      <c r="A87" s="136" t="s">
        <v>310</v>
      </c>
      <c r="B87" s="56"/>
      <c r="C87" s="126"/>
      <c r="D87" s="204" t="s">
        <v>141</v>
      </c>
      <c r="E87" s="166"/>
      <c r="F87" s="161"/>
      <c r="G87" s="166"/>
      <c r="H87" s="279"/>
      <c r="I87" s="367"/>
    </row>
    <row r="88" spans="1:11" x14ac:dyDescent="0.2">
      <c r="A88" s="136" t="s">
        <v>267</v>
      </c>
      <c r="B88" s="85"/>
      <c r="C88" s="112"/>
      <c r="D88" s="204"/>
      <c r="E88" s="166">
        <v>6235219</v>
      </c>
      <c r="F88" s="161">
        <v>1485550</v>
      </c>
      <c r="G88" s="166">
        <f>+H88-F88</f>
        <v>4514450</v>
      </c>
      <c r="H88" s="279">
        <v>6000000</v>
      </c>
      <c r="I88" s="367">
        <v>6000000</v>
      </c>
    </row>
    <row r="89" spans="1:11" x14ac:dyDescent="0.2">
      <c r="A89" s="136" t="s">
        <v>266</v>
      </c>
      <c r="B89" s="85"/>
      <c r="C89" s="112"/>
      <c r="D89" s="204"/>
      <c r="E89" s="166">
        <v>9869953</v>
      </c>
      <c r="F89" s="161">
        <v>3292300</v>
      </c>
      <c r="G89" s="166">
        <f>+H89-F89</f>
        <v>4207700</v>
      </c>
      <c r="H89" s="279">
        <v>7500000</v>
      </c>
      <c r="I89" s="367">
        <v>7500000</v>
      </c>
    </row>
    <row r="90" spans="1:11" x14ac:dyDescent="0.2">
      <c r="A90" s="136" t="s">
        <v>268</v>
      </c>
      <c r="B90" s="85"/>
      <c r="C90" s="112"/>
      <c r="D90" s="204"/>
      <c r="E90" s="166"/>
      <c r="F90" s="161"/>
      <c r="G90" s="166"/>
      <c r="H90" s="279"/>
      <c r="I90" s="367"/>
    </row>
    <row r="91" spans="1:11" x14ac:dyDescent="0.2">
      <c r="A91" s="270" t="s">
        <v>301</v>
      </c>
      <c r="B91" s="7"/>
      <c r="C91" s="112"/>
      <c r="D91" s="204"/>
      <c r="E91" s="166">
        <v>15200</v>
      </c>
      <c r="F91" s="161">
        <v>296000</v>
      </c>
      <c r="G91" s="166">
        <f>+H91-F91</f>
        <v>1024000</v>
      </c>
      <c r="H91" s="279">
        <v>1320000</v>
      </c>
      <c r="I91" s="367">
        <v>2120000</v>
      </c>
    </row>
    <row r="92" spans="1:11" x14ac:dyDescent="0.2">
      <c r="A92" s="270" t="s">
        <v>300</v>
      </c>
      <c r="B92" s="7"/>
      <c r="C92" s="112"/>
      <c r="D92" s="204"/>
      <c r="E92" s="166">
        <v>5479903.8600000003</v>
      </c>
      <c r="F92" s="161">
        <v>0</v>
      </c>
      <c r="G92" s="166">
        <f>+H92-F92</f>
        <v>0</v>
      </c>
      <c r="H92" s="279">
        <v>0</v>
      </c>
      <c r="I92" s="367">
        <v>0</v>
      </c>
    </row>
    <row r="93" spans="1:11" x14ac:dyDescent="0.2">
      <c r="A93" s="270" t="s">
        <v>298</v>
      </c>
      <c r="B93" s="8"/>
      <c r="C93" s="112"/>
      <c r="D93" s="204"/>
      <c r="E93" s="166"/>
      <c r="F93" s="161"/>
      <c r="G93" s="166"/>
      <c r="H93" s="279"/>
      <c r="I93" s="367"/>
    </row>
    <row r="94" spans="1:11" x14ac:dyDescent="0.2">
      <c r="A94" s="270" t="s">
        <v>299</v>
      </c>
      <c r="B94" s="112"/>
      <c r="C94" s="112"/>
      <c r="D94" s="204"/>
      <c r="E94" s="166">
        <v>250000</v>
      </c>
      <c r="F94" s="161">
        <v>0</v>
      </c>
      <c r="G94" s="166">
        <f>+H94-F94</f>
        <v>0</v>
      </c>
      <c r="H94" s="279">
        <v>0</v>
      </c>
      <c r="I94" s="367">
        <v>0</v>
      </c>
    </row>
    <row r="95" spans="1:11" x14ac:dyDescent="0.2">
      <c r="A95" s="270" t="s">
        <v>297</v>
      </c>
      <c r="B95" s="7"/>
      <c r="C95" s="112"/>
      <c r="D95" s="204"/>
      <c r="E95" s="166">
        <v>300000</v>
      </c>
      <c r="F95" s="161">
        <v>0</v>
      </c>
      <c r="G95" s="166">
        <f>+H95-F95</f>
        <v>0</v>
      </c>
      <c r="H95" s="279">
        <v>0</v>
      </c>
      <c r="I95" s="367">
        <v>0</v>
      </c>
    </row>
    <row r="96" spans="1:11" x14ac:dyDescent="0.2">
      <c r="A96" s="270" t="s">
        <v>282</v>
      </c>
      <c r="B96" s="7"/>
      <c r="C96" s="112"/>
      <c r="D96" s="204"/>
      <c r="E96" s="166"/>
      <c r="F96" s="161"/>
      <c r="G96" s="166"/>
      <c r="H96" s="279"/>
      <c r="I96" s="367"/>
    </row>
    <row r="97" spans="1:9" x14ac:dyDescent="0.2">
      <c r="A97" s="270" t="s">
        <v>283</v>
      </c>
      <c r="B97" s="112"/>
      <c r="C97" s="112"/>
      <c r="D97" s="204"/>
      <c r="E97" s="166">
        <v>234500</v>
      </c>
      <c r="F97" s="161">
        <v>0</v>
      </c>
      <c r="G97" s="166">
        <f>+H97-F97</f>
        <v>0</v>
      </c>
      <c r="H97" s="279">
        <v>0</v>
      </c>
      <c r="I97" s="367">
        <v>0</v>
      </c>
    </row>
    <row r="98" spans="1:9" x14ac:dyDescent="0.2">
      <c r="A98" s="270" t="s">
        <v>286</v>
      </c>
      <c r="B98" s="112"/>
      <c r="C98" s="112"/>
      <c r="D98" s="204"/>
      <c r="E98" s="166">
        <v>346050</v>
      </c>
      <c r="F98" s="161">
        <v>80900</v>
      </c>
      <c r="G98" s="166">
        <f>+H98-F98</f>
        <v>419100</v>
      </c>
      <c r="H98" s="279">
        <v>500000</v>
      </c>
      <c r="I98" s="367">
        <v>500000</v>
      </c>
    </row>
    <row r="99" spans="1:9" x14ac:dyDescent="0.2">
      <c r="A99" s="270" t="s">
        <v>284</v>
      </c>
      <c r="B99" s="7"/>
      <c r="C99" s="112"/>
      <c r="D99" s="204"/>
      <c r="E99" s="166"/>
      <c r="F99" s="161"/>
      <c r="G99" s="166"/>
      <c r="H99" s="279"/>
      <c r="I99" s="367"/>
    </row>
    <row r="100" spans="1:9" x14ac:dyDescent="0.2">
      <c r="A100" s="270" t="s">
        <v>285</v>
      </c>
      <c r="B100" s="112"/>
      <c r="C100" s="112"/>
      <c r="D100" s="204"/>
      <c r="E100" s="166">
        <v>0</v>
      </c>
      <c r="F100" s="161">
        <v>0</v>
      </c>
      <c r="G100" s="166">
        <v>0</v>
      </c>
      <c r="H100" s="279">
        <v>0</v>
      </c>
      <c r="I100" s="367">
        <v>0</v>
      </c>
    </row>
    <row r="101" spans="1:9" x14ac:dyDescent="0.2">
      <c r="A101" s="270" t="s">
        <v>287</v>
      </c>
      <c r="B101" s="7"/>
      <c r="C101" s="112"/>
      <c r="D101" s="204"/>
      <c r="E101" s="166"/>
      <c r="F101" s="161"/>
      <c r="G101" s="166"/>
      <c r="H101" s="279"/>
      <c r="I101" s="367"/>
    </row>
    <row r="102" spans="1:9" x14ac:dyDescent="0.2">
      <c r="A102" s="270" t="s">
        <v>288</v>
      </c>
      <c r="B102" s="112"/>
      <c r="C102" s="112"/>
      <c r="D102" s="204"/>
      <c r="E102" s="166">
        <v>324601</v>
      </c>
      <c r="F102" s="161">
        <v>119800</v>
      </c>
      <c r="G102" s="166">
        <f t="shared" ref="G102:G107" si="4">+H102-F102</f>
        <v>180200</v>
      </c>
      <c r="H102" s="279">
        <v>300000</v>
      </c>
      <c r="I102" s="367">
        <v>500000</v>
      </c>
    </row>
    <row r="103" spans="1:9" x14ac:dyDescent="0.2">
      <c r="A103" s="270" t="s">
        <v>303</v>
      </c>
      <c r="B103" s="7"/>
      <c r="C103" s="112"/>
      <c r="D103" s="204"/>
      <c r="E103" s="166">
        <v>290990</v>
      </c>
      <c r="F103" s="161">
        <v>0</v>
      </c>
      <c r="G103" s="166">
        <f t="shared" si="4"/>
        <v>0</v>
      </c>
      <c r="H103" s="279">
        <v>0</v>
      </c>
      <c r="I103" s="367">
        <v>0</v>
      </c>
    </row>
    <row r="104" spans="1:9" x14ac:dyDescent="0.2">
      <c r="A104" s="270" t="s">
        <v>296</v>
      </c>
      <c r="B104" s="7"/>
      <c r="C104" s="112"/>
      <c r="D104" s="204"/>
      <c r="E104" s="166">
        <v>500000</v>
      </c>
      <c r="F104" s="161">
        <v>125000</v>
      </c>
      <c r="G104" s="166">
        <f t="shared" si="4"/>
        <v>375000</v>
      </c>
      <c r="H104" s="279">
        <v>500000</v>
      </c>
      <c r="I104" s="367">
        <v>500000</v>
      </c>
    </row>
    <row r="105" spans="1:9" x14ac:dyDescent="0.2">
      <c r="A105" s="270" t="s">
        <v>269</v>
      </c>
      <c r="B105" s="112"/>
      <c r="C105" s="112"/>
      <c r="D105" s="204"/>
      <c r="E105" s="166">
        <v>384000</v>
      </c>
      <c r="F105" s="161">
        <v>0</v>
      </c>
      <c r="G105" s="166">
        <f t="shared" si="4"/>
        <v>500000</v>
      </c>
      <c r="H105" s="279">
        <v>500000</v>
      </c>
      <c r="I105" s="367">
        <v>1000000</v>
      </c>
    </row>
    <row r="106" spans="1:9" x14ac:dyDescent="0.2">
      <c r="A106" s="270" t="s">
        <v>289</v>
      </c>
      <c r="B106" s="7"/>
      <c r="C106" s="112"/>
      <c r="D106" s="204"/>
      <c r="E106" s="166">
        <v>1047638.66</v>
      </c>
      <c r="F106" s="161">
        <v>0</v>
      </c>
      <c r="G106" s="166">
        <f t="shared" si="4"/>
        <v>0</v>
      </c>
      <c r="H106" s="279">
        <v>0</v>
      </c>
      <c r="I106" s="367">
        <v>0</v>
      </c>
    </row>
    <row r="107" spans="1:9" x14ac:dyDescent="0.2">
      <c r="A107" s="270" t="s">
        <v>334</v>
      </c>
      <c r="B107" s="7"/>
      <c r="C107" s="112"/>
      <c r="D107" s="204"/>
      <c r="E107" s="166">
        <v>0</v>
      </c>
      <c r="F107" s="161">
        <v>0</v>
      </c>
      <c r="G107" s="166">
        <f t="shared" si="4"/>
        <v>0</v>
      </c>
      <c r="H107" s="279">
        <v>0</v>
      </c>
      <c r="I107" s="367">
        <v>0</v>
      </c>
    </row>
    <row r="108" spans="1:9" x14ac:dyDescent="0.2">
      <c r="A108" s="270"/>
      <c r="B108" s="7"/>
      <c r="C108" s="467" t="s">
        <v>335</v>
      </c>
      <c r="D108" s="204"/>
      <c r="E108" s="166">
        <v>0</v>
      </c>
      <c r="F108" s="161">
        <v>0</v>
      </c>
      <c r="G108" s="166">
        <v>0</v>
      </c>
      <c r="H108" s="279">
        <v>0</v>
      </c>
      <c r="I108" s="367">
        <v>400000</v>
      </c>
    </row>
    <row r="109" spans="1:9" x14ac:dyDescent="0.2">
      <c r="A109" s="270" t="s">
        <v>317</v>
      </c>
      <c r="B109" s="7"/>
      <c r="C109" s="112"/>
      <c r="D109" s="204"/>
      <c r="E109" s="166">
        <v>0</v>
      </c>
      <c r="F109" s="161">
        <v>0</v>
      </c>
      <c r="G109" s="166">
        <f>+H109-F109</f>
        <v>500000</v>
      </c>
      <c r="H109" s="279">
        <v>500000</v>
      </c>
      <c r="I109" s="367">
        <v>500000</v>
      </c>
    </row>
    <row r="110" spans="1:9" x14ac:dyDescent="0.2">
      <c r="A110" s="270" t="s">
        <v>318</v>
      </c>
      <c r="B110" s="7"/>
      <c r="C110" s="112"/>
      <c r="D110" s="204"/>
      <c r="E110" s="174">
        <v>0</v>
      </c>
      <c r="F110" s="194">
        <v>0</v>
      </c>
      <c r="G110" s="166">
        <v>0</v>
      </c>
      <c r="H110" s="279">
        <v>0</v>
      </c>
      <c r="I110" s="367">
        <v>0</v>
      </c>
    </row>
    <row r="111" spans="1:9" x14ac:dyDescent="0.2">
      <c r="A111" s="270" t="s">
        <v>302</v>
      </c>
      <c r="B111" s="7"/>
      <c r="C111" s="112"/>
      <c r="D111" s="204"/>
      <c r="E111" s="174">
        <v>2463083</v>
      </c>
      <c r="F111" s="194">
        <v>1926633</v>
      </c>
      <c r="G111" s="166">
        <f>+H111-F111</f>
        <v>2153367</v>
      </c>
      <c r="H111" s="279">
        <v>4080000</v>
      </c>
      <c r="I111" s="367">
        <v>3000000</v>
      </c>
    </row>
    <row r="112" spans="1:9" ht="13.5" thickBot="1" x14ac:dyDescent="0.25">
      <c r="A112" s="136" t="s">
        <v>22</v>
      </c>
      <c r="B112" s="85"/>
      <c r="C112" s="85"/>
      <c r="D112" s="224" t="s">
        <v>116</v>
      </c>
      <c r="E112" s="274">
        <v>1420297.47</v>
      </c>
      <c r="F112" s="277">
        <v>729599.4</v>
      </c>
      <c r="G112" s="166">
        <f>+H112-F112</f>
        <v>779250.6</v>
      </c>
      <c r="H112" s="352">
        <v>1508850</v>
      </c>
      <c r="I112" s="314">
        <v>1500000</v>
      </c>
    </row>
    <row r="113" spans="1:9" ht="12" customHeight="1" thickBot="1" x14ac:dyDescent="0.25">
      <c r="A113" s="12" t="s">
        <v>76</v>
      </c>
      <c r="B113" s="98"/>
      <c r="C113" s="98"/>
      <c r="D113" s="72"/>
      <c r="E113" s="89">
        <f>SUM(E86:E112)</f>
        <v>56510665.059999995</v>
      </c>
      <c r="F113" s="89">
        <f>SUM(F86:F112)</f>
        <v>18651727.879999999</v>
      </c>
      <c r="G113" s="89">
        <f>SUM(G86:G112)</f>
        <v>29287610.720000003</v>
      </c>
      <c r="H113" s="89">
        <f>SUM(H86:H112)</f>
        <v>47939338.600000001</v>
      </c>
      <c r="I113" s="368">
        <f>SUM(I86:I112)</f>
        <v>52337000</v>
      </c>
    </row>
    <row r="114" spans="1:9" x14ac:dyDescent="0.2">
      <c r="A114" s="163" t="s">
        <v>9</v>
      </c>
      <c r="B114" s="4"/>
      <c r="C114" s="4"/>
      <c r="D114" s="183"/>
      <c r="E114" s="275"/>
      <c r="F114" s="278"/>
      <c r="G114" s="275"/>
      <c r="H114" s="278"/>
      <c r="I114" s="369"/>
    </row>
    <row r="115" spans="1:9" x14ac:dyDescent="0.2">
      <c r="A115" s="136" t="s">
        <v>313</v>
      </c>
      <c r="B115" s="85"/>
      <c r="C115" s="85"/>
      <c r="D115" s="181" t="s">
        <v>314</v>
      </c>
      <c r="E115" s="173">
        <v>1800000</v>
      </c>
      <c r="F115" s="199">
        <v>0</v>
      </c>
      <c r="G115" s="166">
        <f>+H115-F115</f>
        <v>0</v>
      </c>
      <c r="H115" s="199">
        <v>0</v>
      </c>
      <c r="I115" s="148">
        <v>0</v>
      </c>
    </row>
    <row r="116" spans="1:9" x14ac:dyDescent="0.2">
      <c r="A116" s="136" t="s">
        <v>315</v>
      </c>
      <c r="B116" s="85"/>
      <c r="C116" s="85"/>
      <c r="D116" s="181" t="s">
        <v>316</v>
      </c>
      <c r="E116" s="173">
        <v>0</v>
      </c>
      <c r="F116" s="199">
        <v>0</v>
      </c>
      <c r="G116" s="166">
        <f>+H116-F116</f>
        <v>0</v>
      </c>
      <c r="H116" s="199">
        <v>0</v>
      </c>
      <c r="I116" s="148">
        <v>0</v>
      </c>
    </row>
    <row r="117" spans="1:9" x14ac:dyDescent="0.2">
      <c r="A117" s="136" t="s">
        <v>275</v>
      </c>
      <c r="B117" s="85"/>
      <c r="C117" s="85"/>
      <c r="D117" s="181" t="s">
        <v>153</v>
      </c>
      <c r="E117" s="173">
        <v>0</v>
      </c>
      <c r="F117" s="199">
        <v>0</v>
      </c>
      <c r="G117" s="166">
        <f>+H117-F117</f>
        <v>5000000</v>
      </c>
      <c r="H117" s="199">
        <v>5000000</v>
      </c>
      <c r="I117" s="148"/>
    </row>
    <row r="118" spans="1:9" x14ac:dyDescent="0.2">
      <c r="A118" s="136" t="s">
        <v>263</v>
      </c>
      <c r="B118" s="85"/>
      <c r="C118" s="85"/>
      <c r="D118" s="181" t="s">
        <v>154</v>
      </c>
      <c r="E118" s="173">
        <v>2199320</v>
      </c>
      <c r="F118" s="199">
        <v>0</v>
      </c>
      <c r="G118" s="166">
        <f>+H118-F118</f>
        <v>0</v>
      </c>
      <c r="H118" s="199">
        <v>0</v>
      </c>
      <c r="I118" s="148">
        <v>0</v>
      </c>
    </row>
    <row r="119" spans="1:9" x14ac:dyDescent="0.2">
      <c r="A119" s="136" t="s">
        <v>52</v>
      </c>
      <c r="B119" s="85"/>
      <c r="C119" s="85"/>
      <c r="D119" s="181" t="s">
        <v>117</v>
      </c>
      <c r="E119" s="173">
        <v>60000</v>
      </c>
      <c r="F119" s="199">
        <v>0</v>
      </c>
      <c r="G119" s="166">
        <f>+H119-F119</f>
        <v>0</v>
      </c>
      <c r="H119" s="199">
        <v>0</v>
      </c>
      <c r="I119" s="148">
        <v>0</v>
      </c>
    </row>
    <row r="120" spans="1:9" x14ac:dyDescent="0.2">
      <c r="A120" s="136" t="s">
        <v>209</v>
      </c>
      <c r="B120" s="85"/>
      <c r="C120" s="85"/>
      <c r="D120" s="181"/>
      <c r="E120" s="173"/>
      <c r="F120" s="199"/>
      <c r="G120" s="166"/>
      <c r="H120" s="199"/>
      <c r="I120" s="148"/>
    </row>
    <row r="121" spans="1:9" x14ac:dyDescent="0.2">
      <c r="A121" s="136" t="s">
        <v>256</v>
      </c>
      <c r="B121" s="85"/>
      <c r="C121" s="85"/>
      <c r="D121" s="181" t="s">
        <v>125</v>
      </c>
      <c r="E121" s="173">
        <v>500000</v>
      </c>
      <c r="F121" s="199">
        <v>275000</v>
      </c>
      <c r="G121" s="166">
        <f>+H121-F121</f>
        <v>130000</v>
      </c>
      <c r="H121" s="199">
        <v>405000</v>
      </c>
      <c r="I121" s="148">
        <v>570000</v>
      </c>
    </row>
    <row r="122" spans="1:9" x14ac:dyDescent="0.2">
      <c r="A122" s="136" t="s">
        <v>257</v>
      </c>
      <c r="B122" s="85"/>
      <c r="C122" s="85"/>
      <c r="D122" s="181" t="s">
        <v>146</v>
      </c>
      <c r="E122" s="173">
        <v>0</v>
      </c>
      <c r="F122" s="199">
        <v>0</v>
      </c>
      <c r="G122" s="166">
        <v>0</v>
      </c>
      <c r="H122" s="199">
        <v>0</v>
      </c>
      <c r="I122" s="148">
        <v>0</v>
      </c>
    </row>
    <row r="123" spans="1:9" x14ac:dyDescent="0.2">
      <c r="A123" s="136" t="s">
        <v>84</v>
      </c>
      <c r="B123" s="85"/>
      <c r="C123" s="85"/>
      <c r="D123" s="181" t="s">
        <v>118</v>
      </c>
      <c r="E123" s="173">
        <v>40000</v>
      </c>
      <c r="F123" s="199">
        <v>0</v>
      </c>
      <c r="G123" s="166">
        <f>+H123-F123</f>
        <v>0</v>
      </c>
      <c r="H123" s="199">
        <v>0</v>
      </c>
      <c r="I123" s="148">
        <v>0</v>
      </c>
    </row>
    <row r="124" spans="1:9" ht="13.5" thickBot="1" x14ac:dyDescent="0.25">
      <c r="A124" s="136" t="s">
        <v>258</v>
      </c>
      <c r="B124" s="85"/>
      <c r="C124" s="85"/>
      <c r="D124" s="181" t="s">
        <v>119</v>
      </c>
      <c r="E124" s="173">
        <v>35000</v>
      </c>
      <c r="F124" s="199">
        <v>0</v>
      </c>
      <c r="G124" s="166">
        <f>+H124-F124</f>
        <v>0</v>
      </c>
      <c r="H124" s="199">
        <v>0</v>
      </c>
      <c r="I124" s="148">
        <v>0</v>
      </c>
    </row>
    <row r="125" spans="1:9" ht="13.5" customHeight="1" thickBot="1" x14ac:dyDescent="0.25">
      <c r="A125" s="105" t="s">
        <v>77</v>
      </c>
      <c r="B125" s="110"/>
      <c r="C125" s="110"/>
      <c r="D125" s="272"/>
      <c r="E125" s="280">
        <f>SUM(E115:E124)</f>
        <v>4634320</v>
      </c>
      <c r="F125" s="280">
        <f>SUM(F115:F124)</f>
        <v>275000</v>
      </c>
      <c r="G125" s="280">
        <f>SUM(G115:G124)</f>
        <v>5130000</v>
      </c>
      <c r="H125" s="280">
        <f>SUM(H115:H124)</f>
        <v>5405000</v>
      </c>
      <c r="I125" s="370">
        <f>SUM(I115:I124)</f>
        <v>570000</v>
      </c>
    </row>
    <row r="126" spans="1:9" ht="11.25" customHeight="1" thickBot="1" x14ac:dyDescent="0.25">
      <c r="A126" s="106" t="s">
        <v>53</v>
      </c>
      <c r="B126" s="111"/>
      <c r="C126" s="111"/>
      <c r="D126" s="11"/>
      <c r="E126" s="51">
        <f>E36+E113+E125</f>
        <v>70879498.939999998</v>
      </c>
      <c r="F126" s="51">
        <f>F36+F113+F125</f>
        <v>23688408.689999998</v>
      </c>
      <c r="G126" s="51">
        <f>G36+G113+G125</f>
        <v>41660829.910000004</v>
      </c>
      <c r="H126" s="51">
        <f>H36+H113+H125</f>
        <v>65349238.600000001</v>
      </c>
      <c r="I126" s="66">
        <f>I36+I113+I125</f>
        <v>65877500</v>
      </c>
    </row>
    <row r="127" spans="1:9" ht="12.75" customHeight="1" x14ac:dyDescent="0.2">
      <c r="A127" s="8"/>
      <c r="B127" s="8"/>
      <c r="C127" s="8"/>
      <c r="D127" s="15"/>
      <c r="E127" s="15"/>
      <c r="F127" s="15"/>
      <c r="G127" s="15"/>
      <c r="H127" s="15"/>
      <c r="I127" s="15"/>
    </row>
    <row r="128" spans="1:9" x14ac:dyDescent="0.2">
      <c r="A128" s="22" t="s">
        <v>223</v>
      </c>
      <c r="B128" s="22"/>
      <c r="C128" s="22"/>
      <c r="D128" s="22" t="s">
        <v>172</v>
      </c>
      <c r="E128" s="22"/>
      <c r="F128" s="15"/>
      <c r="G128" s="527" t="s">
        <v>16</v>
      </c>
      <c r="H128" s="527"/>
      <c r="I128" s="8"/>
    </row>
    <row r="129" spans="1:9" ht="5.25" customHeight="1" x14ac:dyDescent="0.2">
      <c r="A129" s="8"/>
      <c r="B129" s="8"/>
      <c r="C129" s="8"/>
      <c r="D129" s="15"/>
      <c r="E129" s="15"/>
      <c r="F129" s="15"/>
      <c r="G129" s="15"/>
      <c r="H129" s="15"/>
      <c r="I129" s="15"/>
    </row>
    <row r="130" spans="1:9" ht="5.25" customHeight="1" x14ac:dyDescent="0.2">
      <c r="A130" s="8"/>
      <c r="B130" s="8"/>
      <c r="C130" s="8"/>
      <c r="D130" s="15"/>
      <c r="E130" s="15"/>
      <c r="F130" s="15"/>
      <c r="G130" s="15"/>
      <c r="H130" s="15"/>
      <c r="I130" s="15"/>
    </row>
    <row r="131" spans="1:9" ht="5.25" customHeight="1" x14ac:dyDescent="0.2">
      <c r="A131" s="8"/>
      <c r="B131" s="8"/>
      <c r="C131" s="8"/>
      <c r="D131" s="15"/>
      <c r="E131" s="15"/>
      <c r="F131" s="15"/>
      <c r="G131" s="15"/>
      <c r="H131" s="15"/>
      <c r="I131" s="15"/>
    </row>
    <row r="132" spans="1:9" x14ac:dyDescent="0.2">
      <c r="D132" s="23"/>
      <c r="E132" s="23"/>
      <c r="F132" s="23"/>
      <c r="G132" s="23"/>
      <c r="H132" s="4"/>
      <c r="I132" s="8"/>
    </row>
    <row r="133" spans="1:9" x14ac:dyDescent="0.2">
      <c r="A133" s="529" t="s">
        <v>271</v>
      </c>
      <c r="B133" s="529"/>
      <c r="C133" s="529"/>
      <c r="D133" s="528" t="s">
        <v>259</v>
      </c>
      <c r="E133" s="528"/>
      <c r="F133" s="528"/>
      <c r="G133" s="23"/>
      <c r="H133" s="529" t="s">
        <v>271</v>
      </c>
      <c r="I133" s="529"/>
    </row>
    <row r="134" spans="1:9" ht="12.75" customHeight="1" x14ac:dyDescent="0.2">
      <c r="A134" s="519" t="s">
        <v>51</v>
      </c>
      <c r="B134" s="519"/>
      <c r="C134" s="519"/>
      <c r="D134" s="518" t="s">
        <v>270</v>
      </c>
      <c r="E134" s="518"/>
      <c r="F134" s="518"/>
      <c r="G134" s="15"/>
      <c r="H134" s="519" t="s">
        <v>51</v>
      </c>
      <c r="I134" s="519"/>
    </row>
    <row r="135" spans="1:9" ht="12.75" customHeight="1" x14ac:dyDescent="0.2">
      <c r="A135" s="441"/>
      <c r="B135" s="441"/>
      <c r="C135" s="441"/>
      <c r="D135" s="442"/>
      <c r="E135" s="442"/>
      <c r="F135" s="442"/>
      <c r="G135" s="15"/>
      <c r="H135" s="441"/>
      <c r="I135" s="441"/>
    </row>
    <row r="136" spans="1:9" ht="12.75" customHeight="1" x14ac:dyDescent="0.2">
      <c r="A136" s="441"/>
      <c r="B136" s="441"/>
      <c r="C136" s="441"/>
      <c r="D136" s="442"/>
      <c r="E136" s="442"/>
      <c r="F136" s="442"/>
      <c r="G136" s="15"/>
      <c r="H136" s="441"/>
      <c r="I136" s="441"/>
    </row>
    <row r="137" spans="1:9" ht="12.75" customHeight="1" x14ac:dyDescent="0.2">
      <c r="A137" s="441"/>
      <c r="B137" s="441"/>
      <c r="C137" s="441"/>
      <c r="D137" s="442"/>
      <c r="E137" s="442"/>
      <c r="F137" s="442"/>
      <c r="G137" s="15"/>
      <c r="H137" s="441"/>
      <c r="I137" s="441"/>
    </row>
    <row r="138" spans="1:9" ht="12.75" customHeight="1" x14ac:dyDescent="0.2">
      <c r="A138" s="441"/>
      <c r="B138" s="441"/>
      <c r="C138" s="441"/>
      <c r="D138" s="442"/>
      <c r="E138" s="442"/>
      <c r="F138" s="442"/>
      <c r="G138" s="15"/>
      <c r="H138" s="441"/>
      <c r="I138" s="441"/>
    </row>
    <row r="139" spans="1:9" ht="12.75" customHeight="1" x14ac:dyDescent="0.2">
      <c r="A139" s="441"/>
      <c r="B139" s="441"/>
      <c r="C139" s="441"/>
      <c r="D139" s="442"/>
      <c r="E139" s="442"/>
      <c r="F139" s="442"/>
      <c r="G139" s="15"/>
      <c r="H139" s="441"/>
      <c r="I139" s="441"/>
    </row>
    <row r="140" spans="1:9" ht="12.75" customHeight="1" x14ac:dyDescent="0.2">
      <c r="A140" s="441"/>
      <c r="B140" s="441"/>
      <c r="C140" s="441"/>
      <c r="D140" s="442"/>
      <c r="E140" s="442"/>
      <c r="F140" s="442"/>
      <c r="G140" s="15"/>
      <c r="H140" s="441"/>
      <c r="I140" s="441"/>
    </row>
    <row r="141" spans="1:9" ht="12.75" customHeight="1" x14ac:dyDescent="0.2">
      <c r="A141" s="441"/>
      <c r="B141" s="441"/>
      <c r="C141" s="441"/>
      <c r="D141" s="442"/>
      <c r="E141" s="442"/>
      <c r="F141" s="442"/>
      <c r="G141" s="15"/>
      <c r="H141" s="441"/>
      <c r="I141" s="441"/>
    </row>
    <row r="142" spans="1:9" ht="12.75" customHeight="1" x14ac:dyDescent="0.2">
      <c r="A142" s="441"/>
      <c r="B142" s="441"/>
      <c r="C142" s="441"/>
      <c r="D142" s="442"/>
      <c r="E142" s="442"/>
      <c r="F142" s="442"/>
      <c r="G142" s="15"/>
      <c r="H142" s="441"/>
      <c r="I142" s="441"/>
    </row>
    <row r="143" spans="1:9" ht="12.75" customHeight="1" x14ac:dyDescent="0.2">
      <c r="A143" s="441"/>
      <c r="B143" s="441"/>
      <c r="C143" s="441"/>
      <c r="D143" s="442"/>
      <c r="E143" s="442"/>
      <c r="F143" s="442"/>
      <c r="G143" s="15"/>
      <c r="H143" s="441"/>
      <c r="I143" s="441"/>
    </row>
    <row r="144" spans="1:9" x14ac:dyDescent="0.2">
      <c r="A144" s="22"/>
      <c r="B144" s="22"/>
      <c r="C144" s="22"/>
      <c r="D144" s="27"/>
      <c r="E144" s="27"/>
      <c r="F144" s="27"/>
      <c r="G144" s="27"/>
      <c r="H144" s="27"/>
      <c r="I144" s="27"/>
    </row>
    <row r="145" spans="1:9" x14ac:dyDescent="0.2">
      <c r="A145" s="8"/>
      <c r="B145" s="8"/>
      <c r="C145" s="8"/>
      <c r="D145" s="27"/>
      <c r="E145" s="27"/>
      <c r="F145" s="27"/>
      <c r="G145" s="27"/>
      <c r="H145" s="27"/>
      <c r="I145" s="27"/>
    </row>
    <row r="146" spans="1:9" x14ac:dyDescent="0.2">
      <c r="A146" s="4"/>
      <c r="B146" s="4"/>
      <c r="C146" s="4"/>
      <c r="D146" s="19"/>
      <c r="E146" s="19"/>
      <c r="F146" s="19"/>
      <c r="G146" s="19"/>
      <c r="H146" s="19"/>
      <c r="I146" s="27"/>
    </row>
    <row r="147" spans="1:9" x14ac:dyDescent="0.2">
      <c r="A147" s="4"/>
      <c r="B147" s="4"/>
      <c r="C147" s="4"/>
      <c r="D147" s="19"/>
      <c r="E147" s="19"/>
      <c r="F147" s="19"/>
      <c r="G147" s="19"/>
      <c r="H147" s="19"/>
      <c r="I147" s="27"/>
    </row>
    <row r="148" spans="1:9" x14ac:dyDescent="0.2">
      <c r="A148" s="8"/>
      <c r="B148" s="8"/>
      <c r="C148" s="8"/>
      <c r="D148" s="27"/>
      <c r="E148" s="19"/>
      <c r="F148" s="19"/>
      <c r="G148" s="19"/>
      <c r="H148" s="27"/>
      <c r="I148" s="19"/>
    </row>
    <row r="149" spans="1:9" x14ac:dyDescent="0.2">
      <c r="A149" s="8"/>
      <c r="B149" s="8"/>
      <c r="C149" s="8"/>
      <c r="D149" s="35"/>
      <c r="E149" s="35"/>
      <c r="F149" s="35"/>
      <c r="G149" s="35"/>
      <c r="H149" s="35"/>
      <c r="I149" s="35"/>
    </row>
    <row r="150" spans="1:9" x14ac:dyDescent="0.2">
      <c r="A150" s="8"/>
      <c r="B150" s="8"/>
      <c r="C150" s="8"/>
      <c r="D150" s="35"/>
      <c r="E150" s="35"/>
      <c r="F150" s="35"/>
      <c r="G150" s="35"/>
      <c r="H150" s="35"/>
      <c r="I150" s="35"/>
    </row>
  </sheetData>
  <mergeCells count="17">
    <mergeCell ref="A133:C133"/>
    <mergeCell ref="D133:F133"/>
    <mergeCell ref="H133:I133"/>
    <mergeCell ref="A11:C13"/>
    <mergeCell ref="F11:H11"/>
    <mergeCell ref="H12:H13"/>
    <mergeCell ref="A75:I75"/>
    <mergeCell ref="A5:G5"/>
    <mergeCell ref="A76:I76"/>
    <mergeCell ref="D8:F8"/>
    <mergeCell ref="A134:C134"/>
    <mergeCell ref="D134:F134"/>
    <mergeCell ref="H134:I134"/>
    <mergeCell ref="A82:C84"/>
    <mergeCell ref="F82:H82"/>
    <mergeCell ref="H83:H84"/>
    <mergeCell ref="G128:H128"/>
  </mergeCells>
  <pageMargins left="0.19685039370078741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K89"/>
  <sheetViews>
    <sheetView view="pageBreakPreview" zoomScale="111" zoomScaleNormal="100" zoomScaleSheetLayoutView="111" workbookViewId="0">
      <selection activeCell="D8" sqref="D8:G8"/>
    </sheetView>
  </sheetViews>
  <sheetFormatPr defaultColWidth="9.28515625" defaultRowHeight="12.75" x14ac:dyDescent="0.2"/>
  <cols>
    <col min="1" max="1" width="21.85546875" style="15" customWidth="1"/>
    <col min="2" max="2" width="2.7109375" style="15" customWidth="1"/>
    <col min="3" max="3" width="27.7109375" style="15" customWidth="1"/>
    <col min="4" max="4" width="19.7109375" style="28" customWidth="1"/>
    <col min="5" max="5" width="12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8" t="s">
        <v>344</v>
      </c>
      <c r="B1" s="471"/>
      <c r="C1" s="471"/>
      <c r="D1" s="471"/>
      <c r="E1" s="471"/>
      <c r="F1" s="471"/>
      <c r="G1" s="471"/>
    </row>
    <row r="2" spans="1:11" x14ac:dyDescent="0.2">
      <c r="A2" s="478" t="s">
        <v>345</v>
      </c>
      <c r="B2" s="479"/>
      <c r="C2" s="479"/>
      <c r="D2" s="479"/>
      <c r="E2" s="479"/>
      <c r="F2" s="479"/>
      <c r="G2" s="479"/>
    </row>
    <row r="3" spans="1:11" x14ac:dyDescent="0.2">
      <c r="A3" s="480" t="s">
        <v>346</v>
      </c>
      <c r="B3" s="479"/>
      <c r="C3" s="479"/>
      <c r="D3" s="479"/>
      <c r="E3" s="479"/>
      <c r="F3" s="479"/>
      <c r="G3" s="479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11" ht="15" x14ac:dyDescent="0.25">
      <c r="A6" s="481"/>
      <c r="B6" s="481"/>
      <c r="C6" s="481"/>
      <c r="D6" s="481"/>
      <c r="E6" s="481"/>
      <c r="F6" s="481"/>
      <c r="G6" s="481"/>
    </row>
    <row r="7" spans="1:11" ht="15" x14ac:dyDescent="0.2">
      <c r="A7" s="510" t="s">
        <v>348</v>
      </c>
      <c r="B7" s="499" t="s">
        <v>349</v>
      </c>
      <c r="C7" s="511"/>
      <c r="D7" s="510" t="s">
        <v>350</v>
      </c>
      <c r="E7" s="499">
        <v>2024</v>
      </c>
      <c r="F7" s="511"/>
      <c r="G7" s="511"/>
    </row>
    <row r="8" spans="1:11" ht="19.5" customHeight="1" x14ac:dyDescent="0.25">
      <c r="A8" s="512" t="s">
        <v>351</v>
      </c>
      <c r="B8" s="500" t="s">
        <v>352</v>
      </c>
      <c r="C8" s="477"/>
      <c r="D8" s="539" t="s">
        <v>364</v>
      </c>
      <c r="E8" s="539"/>
      <c r="F8" s="539"/>
      <c r="G8" s="539"/>
    </row>
    <row r="9" spans="1:11" ht="18" customHeight="1" thickBot="1" x14ac:dyDescent="0.3">
      <c r="A9" s="512" t="s">
        <v>354</v>
      </c>
      <c r="B9" s="500" t="s">
        <v>355</v>
      </c>
      <c r="C9" s="477"/>
      <c r="D9" s="477"/>
      <c r="E9" s="477"/>
      <c r="F9" s="477"/>
      <c r="G9" s="477"/>
    </row>
    <row r="10" spans="1:11" ht="13.5" thickBot="1" x14ac:dyDescent="0.25">
      <c r="A10" s="520" t="s">
        <v>27</v>
      </c>
      <c r="B10" s="532"/>
      <c r="C10" s="532"/>
      <c r="D10" s="448" t="s">
        <v>15</v>
      </c>
      <c r="E10" s="443" t="s">
        <v>1</v>
      </c>
      <c r="F10" s="522" t="s">
        <v>329</v>
      </c>
      <c r="G10" s="523"/>
      <c r="H10" s="524"/>
      <c r="I10" s="444" t="s">
        <v>3</v>
      </c>
    </row>
    <row r="11" spans="1:11" x14ac:dyDescent="0.2">
      <c r="A11" s="521"/>
      <c r="B11" s="534"/>
      <c r="C11" s="534"/>
      <c r="D11" s="449" t="s">
        <v>0</v>
      </c>
      <c r="E11" s="446">
        <v>2022</v>
      </c>
      <c r="F11" s="156" t="s">
        <v>167</v>
      </c>
      <c r="G11" s="245" t="s">
        <v>168</v>
      </c>
      <c r="H11" s="525" t="s">
        <v>169</v>
      </c>
      <c r="I11" s="447">
        <v>2024</v>
      </c>
    </row>
    <row r="12" spans="1:11" x14ac:dyDescent="0.2">
      <c r="A12" s="521"/>
      <c r="B12" s="534"/>
      <c r="C12" s="534"/>
      <c r="D12" s="180"/>
      <c r="E12" s="446" t="s">
        <v>2</v>
      </c>
      <c r="F12" s="449" t="s">
        <v>2</v>
      </c>
      <c r="G12" s="446" t="s">
        <v>183</v>
      </c>
      <c r="H12" s="526"/>
      <c r="I12" s="447" t="s">
        <v>33</v>
      </c>
    </row>
    <row r="13" spans="1:11" s="61" customFormat="1" ht="13.5" thickBot="1" x14ac:dyDescent="0.25">
      <c r="A13" s="451" t="s">
        <v>28</v>
      </c>
      <c r="B13" s="452"/>
      <c r="C13" s="452"/>
      <c r="D13" s="158" t="s">
        <v>29</v>
      </c>
      <c r="E13" s="452" t="s">
        <v>30</v>
      </c>
      <c r="F13" s="158" t="s">
        <v>31</v>
      </c>
      <c r="G13" s="452" t="s">
        <v>32</v>
      </c>
      <c r="H13" s="158" t="s">
        <v>170</v>
      </c>
      <c r="I13" s="453" t="s">
        <v>171</v>
      </c>
      <c r="K13" s="457"/>
    </row>
    <row r="14" spans="1:11" x14ac:dyDescent="0.2">
      <c r="A14" s="163" t="s">
        <v>4</v>
      </c>
      <c r="B14" s="4"/>
      <c r="C14" s="4"/>
      <c r="D14" s="159"/>
      <c r="E14" s="27"/>
      <c r="F14" s="159"/>
      <c r="G14" s="27"/>
      <c r="H14" s="159"/>
      <c r="I14" s="141"/>
    </row>
    <row r="15" spans="1:11" ht="12" customHeight="1" x14ac:dyDescent="0.2">
      <c r="A15" s="163" t="s">
        <v>5</v>
      </c>
      <c r="B15" s="4"/>
      <c r="C15" s="4"/>
      <c r="D15" s="160"/>
      <c r="E15" s="39"/>
      <c r="F15" s="160"/>
      <c r="G15" s="39"/>
      <c r="H15" s="160"/>
      <c r="I15" s="142"/>
    </row>
    <row r="16" spans="1:11" x14ac:dyDescent="0.2">
      <c r="A16" s="136" t="s">
        <v>46</v>
      </c>
      <c r="B16" s="85"/>
      <c r="C16" s="85"/>
      <c r="D16" s="181" t="s">
        <v>100</v>
      </c>
      <c r="E16" s="161">
        <v>0</v>
      </c>
      <c r="F16" s="239">
        <v>0</v>
      </c>
      <c r="G16" s="239">
        <v>0</v>
      </c>
      <c r="H16" s="239">
        <v>0</v>
      </c>
      <c r="I16" s="438">
        <v>2925000</v>
      </c>
    </row>
    <row r="17" spans="1:11" x14ac:dyDescent="0.2">
      <c r="A17" s="136" t="s">
        <v>55</v>
      </c>
      <c r="B17" s="85"/>
      <c r="C17" s="85"/>
      <c r="D17" s="181" t="s">
        <v>101</v>
      </c>
      <c r="E17" s="161">
        <v>0</v>
      </c>
      <c r="F17" s="239">
        <v>0</v>
      </c>
      <c r="G17" s="239">
        <v>0</v>
      </c>
      <c r="H17" s="239">
        <v>0</v>
      </c>
      <c r="I17" s="438">
        <v>264000</v>
      </c>
    </row>
    <row r="18" spans="1:11" x14ac:dyDescent="0.2">
      <c r="A18" s="136" t="s">
        <v>73</v>
      </c>
      <c r="B18" s="85"/>
      <c r="C18" s="85"/>
      <c r="D18" s="181" t="s">
        <v>120</v>
      </c>
      <c r="E18" s="161">
        <v>0</v>
      </c>
      <c r="F18" s="239">
        <v>0</v>
      </c>
      <c r="G18" s="239">
        <v>0</v>
      </c>
      <c r="H18" s="239">
        <v>0</v>
      </c>
      <c r="I18" s="438">
        <v>81000</v>
      </c>
    </row>
    <row r="19" spans="1:11" x14ac:dyDescent="0.2">
      <c r="A19" s="136" t="s">
        <v>74</v>
      </c>
      <c r="B19" s="85"/>
      <c r="C19" s="85"/>
      <c r="D19" s="181" t="s">
        <v>121</v>
      </c>
      <c r="E19" s="161">
        <v>0</v>
      </c>
      <c r="F19" s="239">
        <v>0</v>
      </c>
      <c r="G19" s="239">
        <v>0</v>
      </c>
      <c r="H19" s="239">
        <v>0</v>
      </c>
      <c r="I19" s="438">
        <v>81000</v>
      </c>
    </row>
    <row r="20" spans="1:11" x14ac:dyDescent="0.2">
      <c r="A20" s="136" t="s">
        <v>42</v>
      </c>
      <c r="B20" s="85"/>
      <c r="C20" s="85"/>
      <c r="D20" s="181" t="s">
        <v>102</v>
      </c>
      <c r="E20" s="161">
        <v>0</v>
      </c>
      <c r="F20" s="239">
        <v>0</v>
      </c>
      <c r="G20" s="239">
        <v>0</v>
      </c>
      <c r="H20" s="239">
        <v>0</v>
      </c>
      <c r="I20" s="438">
        <v>66000</v>
      </c>
    </row>
    <row r="21" spans="1:11" s="61" customFormat="1" x14ac:dyDescent="0.2">
      <c r="A21" s="137" t="s">
        <v>182</v>
      </c>
      <c r="B21" s="101"/>
      <c r="C21" s="101"/>
      <c r="D21" s="288" t="s">
        <v>158</v>
      </c>
      <c r="E21" s="161">
        <v>0</v>
      </c>
      <c r="F21" s="239">
        <v>0</v>
      </c>
      <c r="G21" s="239">
        <v>0</v>
      </c>
      <c r="H21" s="239">
        <v>0</v>
      </c>
      <c r="I21" s="438">
        <v>0</v>
      </c>
      <c r="K21" s="457"/>
    </row>
    <row r="22" spans="1:11" x14ac:dyDescent="0.2">
      <c r="A22" s="136" t="s">
        <v>95</v>
      </c>
      <c r="B22" s="85"/>
      <c r="C22" s="85"/>
      <c r="D22" s="181" t="s">
        <v>104</v>
      </c>
      <c r="E22" s="161">
        <v>0</v>
      </c>
      <c r="F22" s="239">
        <v>0</v>
      </c>
      <c r="G22" s="239">
        <v>0</v>
      </c>
      <c r="H22" s="239">
        <v>0</v>
      </c>
      <c r="I22" s="438">
        <v>244000</v>
      </c>
    </row>
    <row r="23" spans="1:11" x14ac:dyDescent="0.2">
      <c r="A23" s="136" t="s">
        <v>150</v>
      </c>
      <c r="B23" s="85"/>
      <c r="C23" s="85"/>
      <c r="D23" s="181" t="s">
        <v>127</v>
      </c>
      <c r="E23" s="161">
        <v>0</v>
      </c>
      <c r="F23" s="239">
        <v>0</v>
      </c>
      <c r="G23" s="239">
        <v>0</v>
      </c>
      <c r="H23" s="239">
        <v>0</v>
      </c>
      <c r="I23" s="438">
        <v>244000</v>
      </c>
    </row>
    <row r="24" spans="1:11" x14ac:dyDescent="0.2">
      <c r="A24" s="136" t="s">
        <v>10</v>
      </c>
      <c r="B24" s="85"/>
      <c r="C24" s="85"/>
      <c r="D24" s="181" t="s">
        <v>103</v>
      </c>
      <c r="E24" s="161">
        <v>0</v>
      </c>
      <c r="F24" s="239">
        <v>0</v>
      </c>
      <c r="G24" s="239">
        <v>0</v>
      </c>
      <c r="H24" s="239">
        <v>0</v>
      </c>
      <c r="I24" s="438">
        <v>55000</v>
      </c>
    </row>
    <row r="25" spans="1:11" x14ac:dyDescent="0.2">
      <c r="A25" s="136" t="s">
        <v>160</v>
      </c>
      <c r="B25" s="85"/>
      <c r="C25" s="85"/>
      <c r="D25" s="181" t="s">
        <v>105</v>
      </c>
      <c r="E25" s="161">
        <v>0</v>
      </c>
      <c r="F25" s="239">
        <v>0</v>
      </c>
      <c r="G25" s="239">
        <v>0</v>
      </c>
      <c r="H25" s="239">
        <v>0</v>
      </c>
      <c r="I25" s="438">
        <v>351000</v>
      </c>
    </row>
    <row r="26" spans="1:11" x14ac:dyDescent="0.2">
      <c r="A26" s="136" t="s">
        <v>57</v>
      </c>
      <c r="B26" s="85"/>
      <c r="C26" s="85"/>
      <c r="D26" s="181" t="s">
        <v>106</v>
      </c>
      <c r="E26" s="161">
        <v>0</v>
      </c>
      <c r="F26" s="239">
        <v>0</v>
      </c>
      <c r="G26" s="239">
        <v>0</v>
      </c>
      <c r="H26" s="239">
        <v>0</v>
      </c>
      <c r="I26" s="438">
        <v>59000</v>
      </c>
    </row>
    <row r="27" spans="1:11" x14ac:dyDescent="0.2">
      <c r="A27" s="136" t="s">
        <v>58</v>
      </c>
      <c r="B27" s="85"/>
      <c r="C27" s="85"/>
      <c r="D27" s="181" t="s">
        <v>107</v>
      </c>
      <c r="E27" s="161">
        <v>0</v>
      </c>
      <c r="F27" s="239">
        <v>0</v>
      </c>
      <c r="G27" s="239">
        <v>0</v>
      </c>
      <c r="H27" s="239">
        <v>0</v>
      </c>
      <c r="I27" s="438">
        <v>74000</v>
      </c>
    </row>
    <row r="28" spans="1:11" x14ac:dyDescent="0.2">
      <c r="A28" s="136" t="s">
        <v>188</v>
      </c>
      <c r="B28" s="85"/>
      <c r="C28" s="85"/>
      <c r="D28" s="181"/>
      <c r="E28" s="161"/>
      <c r="F28" s="239"/>
      <c r="G28" s="239"/>
      <c r="H28" s="239"/>
      <c r="I28" s="438"/>
    </row>
    <row r="29" spans="1:11" x14ac:dyDescent="0.2">
      <c r="A29" s="136" t="s">
        <v>196</v>
      </c>
      <c r="B29" s="85"/>
      <c r="C29" s="85"/>
      <c r="D29" s="181" t="s">
        <v>108</v>
      </c>
      <c r="E29" s="161">
        <v>0</v>
      </c>
      <c r="F29" s="239">
        <v>0</v>
      </c>
      <c r="G29" s="239">
        <v>0</v>
      </c>
      <c r="H29" s="239">
        <v>0</v>
      </c>
      <c r="I29" s="438">
        <v>14000</v>
      </c>
    </row>
    <row r="30" spans="1:11" x14ac:dyDescent="0.2">
      <c r="A30" s="136" t="s">
        <v>45</v>
      </c>
      <c r="B30" s="85"/>
      <c r="C30" s="85"/>
      <c r="D30" s="181" t="s">
        <v>128</v>
      </c>
      <c r="E30" s="161">
        <v>0</v>
      </c>
      <c r="F30" s="239">
        <v>0</v>
      </c>
      <c r="G30" s="239">
        <v>0</v>
      </c>
      <c r="H30" s="239">
        <v>0</v>
      </c>
      <c r="I30" s="438">
        <v>242000</v>
      </c>
    </row>
    <row r="31" spans="1:11" x14ac:dyDescent="0.2">
      <c r="A31" s="136" t="s">
        <v>60</v>
      </c>
      <c r="B31" s="85"/>
      <c r="C31" s="85"/>
      <c r="D31" s="181" t="s">
        <v>129</v>
      </c>
      <c r="E31" s="161">
        <v>0</v>
      </c>
      <c r="F31" s="239">
        <v>0</v>
      </c>
      <c r="G31" s="239">
        <v>0</v>
      </c>
      <c r="H31" s="239">
        <v>0</v>
      </c>
      <c r="I31" s="438">
        <v>55000</v>
      </c>
    </row>
    <row r="32" spans="1:11" x14ac:dyDescent="0.2">
      <c r="A32" s="137" t="s">
        <v>72</v>
      </c>
      <c r="B32" s="101"/>
      <c r="C32" s="101"/>
      <c r="D32" s="181" t="s">
        <v>130</v>
      </c>
      <c r="E32" s="161">
        <v>0</v>
      </c>
      <c r="F32" s="239">
        <v>0</v>
      </c>
      <c r="G32" s="239">
        <v>0</v>
      </c>
      <c r="H32" s="239">
        <v>0</v>
      </c>
      <c r="I32" s="438">
        <v>0</v>
      </c>
    </row>
    <row r="33" spans="1:11" x14ac:dyDescent="0.2">
      <c r="A33" s="137" t="s">
        <v>89</v>
      </c>
      <c r="B33" s="101"/>
      <c r="C33" s="101"/>
      <c r="D33" s="181" t="s">
        <v>131</v>
      </c>
      <c r="E33" s="161">
        <v>0</v>
      </c>
      <c r="F33" s="239">
        <v>0</v>
      </c>
      <c r="G33" s="239">
        <v>0</v>
      </c>
      <c r="H33" s="239">
        <v>0</v>
      </c>
      <c r="I33" s="438">
        <v>0</v>
      </c>
    </row>
    <row r="34" spans="1:11" x14ac:dyDescent="0.2">
      <c r="A34" s="137" t="s">
        <v>260</v>
      </c>
      <c r="B34" s="101"/>
      <c r="C34" s="101"/>
      <c r="D34" s="184" t="s">
        <v>261</v>
      </c>
      <c r="E34" s="161">
        <v>0</v>
      </c>
      <c r="F34" s="239">
        <v>0</v>
      </c>
      <c r="G34" s="239">
        <v>0</v>
      </c>
      <c r="H34" s="239">
        <v>0</v>
      </c>
      <c r="I34" s="438">
        <v>0</v>
      </c>
    </row>
    <row r="35" spans="1:11" s="61" customFormat="1" ht="13.5" thickBot="1" x14ac:dyDescent="0.25">
      <c r="A35" s="137" t="s">
        <v>293</v>
      </c>
      <c r="B35" s="101"/>
      <c r="C35" s="101"/>
      <c r="D35" s="289" t="s">
        <v>292</v>
      </c>
      <c r="E35" s="161">
        <v>0</v>
      </c>
      <c r="F35" s="239">
        <v>0</v>
      </c>
      <c r="G35" s="239">
        <v>0</v>
      </c>
      <c r="H35" s="239">
        <v>0</v>
      </c>
      <c r="I35" s="254">
        <v>0</v>
      </c>
      <c r="K35" s="457"/>
    </row>
    <row r="36" spans="1:11" ht="11.25" customHeight="1" thickBot="1" x14ac:dyDescent="0.25">
      <c r="A36" s="12" t="s">
        <v>6</v>
      </c>
      <c r="B36" s="98"/>
      <c r="C36" s="98"/>
      <c r="D36" s="72"/>
      <c r="E36" s="118">
        <f>SUM(E16:E35)</f>
        <v>0</v>
      </c>
      <c r="F36" s="118">
        <f>SUM(F16:F35)</f>
        <v>0</v>
      </c>
      <c r="G36" s="118">
        <f>SUM(G16:G35)</f>
        <v>0</v>
      </c>
      <c r="H36" s="118">
        <f>SUM(H16:H35)</f>
        <v>0</v>
      </c>
      <c r="I36" s="120">
        <f>SUM(I16:I35)</f>
        <v>4755000</v>
      </c>
    </row>
    <row r="37" spans="1:11" x14ac:dyDescent="0.2">
      <c r="A37" s="163" t="s">
        <v>7</v>
      </c>
      <c r="B37" s="4"/>
      <c r="C37" s="4"/>
      <c r="D37" s="183"/>
      <c r="E37" s="275"/>
      <c r="F37" s="278"/>
      <c r="G37" s="275"/>
      <c r="H37" s="162"/>
      <c r="I37" s="146"/>
    </row>
    <row r="38" spans="1:11" x14ac:dyDescent="0.2">
      <c r="A38" s="137" t="s">
        <v>8</v>
      </c>
      <c r="B38" s="85"/>
      <c r="C38" s="85"/>
      <c r="D38" s="181" t="s">
        <v>109</v>
      </c>
      <c r="E38" s="161">
        <v>0</v>
      </c>
      <c r="F38" s="239">
        <v>0</v>
      </c>
      <c r="G38" s="239">
        <v>0</v>
      </c>
      <c r="H38" s="239">
        <v>0</v>
      </c>
      <c r="I38" s="188">
        <v>400000</v>
      </c>
    </row>
    <row r="39" spans="1:11" x14ac:dyDescent="0.2">
      <c r="A39" s="137" t="s">
        <v>281</v>
      </c>
      <c r="B39" s="85"/>
      <c r="C39" s="85"/>
      <c r="D39" s="181" t="s">
        <v>110</v>
      </c>
      <c r="E39" s="161">
        <v>0</v>
      </c>
      <c r="F39" s="239">
        <v>0</v>
      </c>
      <c r="G39" s="239">
        <v>0</v>
      </c>
      <c r="H39" s="239">
        <v>0</v>
      </c>
      <c r="I39" s="188">
        <v>300000</v>
      </c>
    </row>
    <row r="40" spans="1:11" x14ac:dyDescent="0.2">
      <c r="A40" s="137" t="s">
        <v>13</v>
      </c>
      <c r="B40" s="85"/>
      <c r="C40" s="85"/>
      <c r="D40" s="181" t="s">
        <v>111</v>
      </c>
      <c r="E40" s="161">
        <v>0</v>
      </c>
      <c r="F40" s="239">
        <v>0</v>
      </c>
      <c r="G40" s="239">
        <v>0</v>
      </c>
      <c r="H40" s="239">
        <v>0</v>
      </c>
      <c r="I40" s="188">
        <v>300000</v>
      </c>
    </row>
    <row r="41" spans="1:11" x14ac:dyDescent="0.2">
      <c r="A41" s="136" t="s">
        <v>163</v>
      </c>
      <c r="B41" s="85"/>
      <c r="C41" s="85"/>
      <c r="D41" s="181" t="s">
        <v>122</v>
      </c>
      <c r="E41" s="161">
        <v>0</v>
      </c>
      <c r="F41" s="239">
        <v>0</v>
      </c>
      <c r="G41" s="239">
        <v>0</v>
      </c>
      <c r="H41" s="239">
        <v>0</v>
      </c>
      <c r="I41" s="188">
        <v>50000</v>
      </c>
    </row>
    <row r="42" spans="1:11" x14ac:dyDescent="0.2">
      <c r="A42" s="136" t="s">
        <v>164</v>
      </c>
      <c r="B42" s="85"/>
      <c r="C42" s="85"/>
      <c r="D42" s="181" t="s">
        <v>112</v>
      </c>
      <c r="E42" s="161">
        <v>0</v>
      </c>
      <c r="F42" s="239">
        <v>0</v>
      </c>
      <c r="G42" s="239">
        <v>0</v>
      </c>
      <c r="H42" s="239">
        <v>0</v>
      </c>
      <c r="I42" s="188">
        <v>350000</v>
      </c>
    </row>
    <row r="43" spans="1:11" x14ac:dyDescent="0.2">
      <c r="A43" s="137" t="s">
        <v>165</v>
      </c>
      <c r="B43" s="101"/>
      <c r="C43" s="230"/>
      <c r="D43" s="288" t="s">
        <v>113</v>
      </c>
      <c r="E43" s="161">
        <v>0</v>
      </c>
      <c r="F43" s="239">
        <v>0</v>
      </c>
      <c r="G43" s="239">
        <v>0</v>
      </c>
      <c r="H43" s="239">
        <v>0</v>
      </c>
      <c r="I43" s="188">
        <v>5000</v>
      </c>
    </row>
    <row r="44" spans="1:11" x14ac:dyDescent="0.2">
      <c r="A44" s="136" t="s">
        <v>166</v>
      </c>
      <c r="B44" s="85"/>
      <c r="C44" s="85"/>
      <c r="D44" s="181" t="s">
        <v>114</v>
      </c>
      <c r="E44" s="161">
        <v>0</v>
      </c>
      <c r="F44" s="239">
        <v>0</v>
      </c>
      <c r="G44" s="239">
        <v>0</v>
      </c>
      <c r="H44" s="239">
        <v>0</v>
      </c>
      <c r="I44" s="188">
        <v>48000</v>
      </c>
    </row>
    <row r="45" spans="1:11" x14ac:dyDescent="0.2">
      <c r="A45" s="136" t="s">
        <v>276</v>
      </c>
      <c r="B45" s="85"/>
      <c r="C45" s="85"/>
      <c r="D45" s="181" t="s">
        <v>139</v>
      </c>
      <c r="E45" s="161">
        <v>0</v>
      </c>
      <c r="F45" s="239">
        <v>0</v>
      </c>
      <c r="G45" s="239">
        <v>0</v>
      </c>
      <c r="H45" s="239">
        <v>0</v>
      </c>
      <c r="I45" s="188">
        <v>100000</v>
      </c>
    </row>
    <row r="46" spans="1:11" x14ac:dyDescent="0.2">
      <c r="A46" s="136" t="s">
        <v>197</v>
      </c>
      <c r="B46" s="85"/>
      <c r="C46" s="85"/>
      <c r="D46" s="181"/>
      <c r="E46" s="161"/>
      <c r="F46" s="239"/>
      <c r="G46" s="239"/>
      <c r="H46" s="239"/>
      <c r="I46" s="188"/>
    </row>
    <row r="47" spans="1:11" x14ac:dyDescent="0.2">
      <c r="A47" s="136" t="s">
        <v>198</v>
      </c>
      <c r="B47" s="85"/>
      <c r="C47" s="85"/>
      <c r="D47" s="181" t="s">
        <v>147</v>
      </c>
      <c r="E47" s="161">
        <v>0</v>
      </c>
      <c r="F47" s="239">
        <v>0</v>
      </c>
      <c r="G47" s="239">
        <v>0</v>
      </c>
      <c r="H47" s="239">
        <v>0</v>
      </c>
      <c r="I47" s="188">
        <v>0</v>
      </c>
    </row>
    <row r="48" spans="1:11" x14ac:dyDescent="0.2">
      <c r="A48" s="136" t="s">
        <v>247</v>
      </c>
      <c r="B48" s="85"/>
      <c r="C48" s="85"/>
      <c r="D48" s="181" t="s">
        <v>124</v>
      </c>
      <c r="E48" s="161">
        <v>0</v>
      </c>
      <c r="F48" s="239">
        <v>0</v>
      </c>
      <c r="G48" s="239">
        <v>0</v>
      </c>
      <c r="H48" s="239">
        <v>0</v>
      </c>
      <c r="I48" s="149">
        <v>50000</v>
      </c>
    </row>
    <row r="49" spans="1:9" x14ac:dyDescent="0.2">
      <c r="A49" s="136" t="s">
        <v>204</v>
      </c>
      <c r="B49" s="85"/>
      <c r="C49" s="85"/>
      <c r="D49" s="181"/>
      <c r="E49" s="161"/>
      <c r="F49" s="239"/>
      <c r="G49" s="239"/>
      <c r="H49" s="239"/>
      <c r="I49" s="149"/>
    </row>
    <row r="50" spans="1:9" x14ac:dyDescent="0.2">
      <c r="A50" s="136" t="s">
        <v>199</v>
      </c>
      <c r="B50" s="85"/>
      <c r="C50" s="85"/>
      <c r="D50" s="181" t="s">
        <v>115</v>
      </c>
      <c r="E50" s="161">
        <v>0</v>
      </c>
      <c r="F50" s="239">
        <v>0</v>
      </c>
      <c r="G50" s="239">
        <v>0</v>
      </c>
      <c r="H50" s="239">
        <v>0</v>
      </c>
      <c r="I50" s="149">
        <v>0</v>
      </c>
    </row>
    <row r="51" spans="1:9" x14ac:dyDescent="0.2">
      <c r="A51" s="136" t="s">
        <v>63</v>
      </c>
      <c r="B51" s="85"/>
      <c r="C51" s="85"/>
      <c r="D51" s="181" t="s">
        <v>136</v>
      </c>
      <c r="E51" s="161">
        <v>0</v>
      </c>
      <c r="F51" s="239">
        <v>0</v>
      </c>
      <c r="G51" s="239">
        <v>0</v>
      </c>
      <c r="H51" s="239">
        <v>0</v>
      </c>
      <c r="I51" s="188">
        <f>500000-50000</f>
        <v>450000</v>
      </c>
    </row>
    <row r="52" spans="1:9" x14ac:dyDescent="0.2">
      <c r="A52" s="136" t="s">
        <v>262</v>
      </c>
      <c r="B52" s="85"/>
      <c r="C52" s="85"/>
      <c r="D52" s="181" t="s">
        <v>187</v>
      </c>
      <c r="E52" s="161">
        <v>0</v>
      </c>
      <c r="F52" s="239">
        <v>0</v>
      </c>
      <c r="G52" s="239">
        <v>0</v>
      </c>
      <c r="H52" s="239">
        <v>0</v>
      </c>
      <c r="I52" s="188">
        <v>50000</v>
      </c>
    </row>
    <row r="53" spans="1:9" x14ac:dyDescent="0.2">
      <c r="A53" s="136" t="s">
        <v>64</v>
      </c>
      <c r="B53" s="85"/>
      <c r="C53" s="85"/>
      <c r="D53" s="181" t="s">
        <v>137</v>
      </c>
      <c r="E53" s="161">
        <v>0</v>
      </c>
      <c r="F53" s="239">
        <v>0</v>
      </c>
      <c r="G53" s="239">
        <v>0</v>
      </c>
      <c r="H53" s="239">
        <v>0</v>
      </c>
      <c r="I53" s="188">
        <v>800000</v>
      </c>
    </row>
    <row r="54" spans="1:9" x14ac:dyDescent="0.2">
      <c r="A54" s="136" t="s">
        <v>200</v>
      </c>
      <c r="B54" s="85"/>
      <c r="C54" s="85"/>
      <c r="D54" s="181"/>
      <c r="E54" s="161"/>
      <c r="F54" s="239"/>
      <c r="G54" s="239"/>
      <c r="H54" s="239"/>
      <c r="I54" s="188"/>
    </row>
    <row r="55" spans="1:9" ht="12.6" customHeight="1" x14ac:dyDescent="0.2">
      <c r="A55" s="136" t="s">
        <v>201</v>
      </c>
      <c r="B55" s="85"/>
      <c r="C55" s="85"/>
      <c r="D55" s="181" t="s">
        <v>159</v>
      </c>
      <c r="E55" s="161">
        <v>0</v>
      </c>
      <c r="F55" s="239">
        <v>0</v>
      </c>
      <c r="G55" s="239">
        <v>0</v>
      </c>
      <c r="H55" s="239">
        <v>0</v>
      </c>
      <c r="I55" s="188">
        <v>50000</v>
      </c>
    </row>
    <row r="56" spans="1:9" ht="13.5" thickBot="1" x14ac:dyDescent="0.25">
      <c r="A56" s="136" t="s">
        <v>18</v>
      </c>
      <c r="B56" s="85"/>
      <c r="C56" s="85"/>
      <c r="D56" s="184" t="s">
        <v>116</v>
      </c>
      <c r="E56" s="161">
        <v>0</v>
      </c>
      <c r="F56" s="239">
        <v>0</v>
      </c>
      <c r="G56" s="239">
        <v>0</v>
      </c>
      <c r="H56" s="239">
        <v>0</v>
      </c>
      <c r="I56" s="153">
        <f>250000+50000</f>
        <v>300000</v>
      </c>
    </row>
    <row r="57" spans="1:9" ht="10.5" customHeight="1" thickBot="1" x14ac:dyDescent="0.25">
      <c r="A57" s="107" t="s">
        <v>24</v>
      </c>
      <c r="B57" s="97"/>
      <c r="C57" s="97"/>
      <c r="D57" s="72"/>
      <c r="E57" s="52">
        <f>SUM(E38:E56)</f>
        <v>0</v>
      </c>
      <c r="F57" s="52">
        <f>SUM(F38:F56)</f>
        <v>0</v>
      </c>
      <c r="G57" s="52">
        <f>SUM(G38:G56)</f>
        <v>0</v>
      </c>
      <c r="H57" s="52">
        <f>SUM(H38:H56)</f>
        <v>0</v>
      </c>
      <c r="I57" s="52">
        <f>SUM(I38:I56)</f>
        <v>3253000</v>
      </c>
    </row>
    <row r="58" spans="1:9" x14ac:dyDescent="0.2">
      <c r="A58" s="163" t="s">
        <v>9</v>
      </c>
      <c r="B58" s="4"/>
      <c r="C58" s="4"/>
      <c r="D58" s="183"/>
      <c r="E58" s="286"/>
      <c r="F58" s="285"/>
      <c r="G58" s="286"/>
      <c r="H58" s="285"/>
      <c r="I58" s="282"/>
    </row>
    <row r="59" spans="1:9" x14ac:dyDescent="0.2">
      <c r="A59" s="137" t="s">
        <v>304</v>
      </c>
      <c r="B59" s="101"/>
      <c r="C59" s="101"/>
      <c r="D59" s="181" t="s">
        <v>117</v>
      </c>
      <c r="E59" s="161">
        <v>0</v>
      </c>
      <c r="F59" s="239">
        <v>0</v>
      </c>
      <c r="G59" s="239">
        <v>0</v>
      </c>
      <c r="H59" s="239">
        <v>0</v>
      </c>
      <c r="I59" s="149">
        <v>0</v>
      </c>
    </row>
    <row r="60" spans="1:9" x14ac:dyDescent="0.2">
      <c r="A60" s="137" t="s">
        <v>202</v>
      </c>
      <c r="B60" s="101"/>
      <c r="C60" s="101"/>
      <c r="D60" s="181"/>
      <c r="E60" s="161"/>
      <c r="F60" s="239"/>
      <c r="G60" s="239"/>
      <c r="H60" s="239"/>
      <c r="I60" s="149"/>
    </row>
    <row r="61" spans="1:9" x14ac:dyDescent="0.2">
      <c r="A61" s="136" t="s">
        <v>251</v>
      </c>
      <c r="B61" s="85"/>
      <c r="C61" s="85"/>
      <c r="D61" s="181" t="s">
        <v>125</v>
      </c>
      <c r="E61" s="161">
        <v>0</v>
      </c>
      <c r="F61" s="239">
        <v>0</v>
      </c>
      <c r="G61" s="239">
        <v>0</v>
      </c>
      <c r="H61" s="239">
        <v>0</v>
      </c>
      <c r="I61" s="149">
        <v>0</v>
      </c>
    </row>
    <row r="62" spans="1:9" x14ac:dyDescent="0.2">
      <c r="A62" s="136" t="s">
        <v>327</v>
      </c>
      <c r="B62" s="85"/>
      <c r="C62" s="85"/>
      <c r="D62" s="181" t="s">
        <v>118</v>
      </c>
      <c r="E62" s="161">
        <v>0</v>
      </c>
      <c r="F62" s="239">
        <v>0</v>
      </c>
      <c r="G62" s="239">
        <v>0</v>
      </c>
      <c r="H62" s="239">
        <v>0</v>
      </c>
      <c r="I62" s="149">
        <v>0</v>
      </c>
    </row>
    <row r="63" spans="1:9" x14ac:dyDescent="0.2">
      <c r="A63" s="136" t="s">
        <v>14</v>
      </c>
      <c r="B63" s="85"/>
      <c r="C63" s="85"/>
      <c r="D63" s="181" t="s">
        <v>118</v>
      </c>
      <c r="E63" s="161">
        <v>0</v>
      </c>
      <c r="F63" s="239">
        <v>0</v>
      </c>
      <c r="G63" s="239">
        <v>0</v>
      </c>
      <c r="H63" s="239">
        <v>0</v>
      </c>
      <c r="I63" s="149">
        <v>0</v>
      </c>
    </row>
    <row r="64" spans="1:9" ht="13.5" thickBot="1" x14ac:dyDescent="0.25">
      <c r="A64" s="136" t="s">
        <v>258</v>
      </c>
      <c r="B64" s="85"/>
      <c r="C64" s="85"/>
      <c r="D64" s="184" t="s">
        <v>119</v>
      </c>
      <c r="E64" s="161">
        <v>0</v>
      </c>
      <c r="F64" s="239">
        <v>0</v>
      </c>
      <c r="G64" s="239">
        <v>0</v>
      </c>
      <c r="H64" s="239">
        <v>0</v>
      </c>
      <c r="I64" s="153">
        <v>0</v>
      </c>
    </row>
    <row r="65" spans="1:9" ht="13.5" customHeight="1" thickBot="1" x14ac:dyDescent="0.25">
      <c r="A65" s="12" t="s">
        <v>77</v>
      </c>
      <c r="B65" s="98"/>
      <c r="C65" s="98"/>
      <c r="D65" s="80"/>
      <c r="E65" s="75">
        <f>SUM(E59:E64)</f>
        <v>0</v>
      </c>
      <c r="F65" s="75">
        <f>SUM(F59:F64)</f>
        <v>0</v>
      </c>
      <c r="G65" s="75">
        <f>SUM(G59:G64)</f>
        <v>0</v>
      </c>
      <c r="H65" s="75">
        <f>SUM(H59:H64)</f>
        <v>0</v>
      </c>
      <c r="I65" s="75">
        <f>SUM(I59:I64)</f>
        <v>0</v>
      </c>
    </row>
    <row r="66" spans="1:9" ht="15" customHeight="1" thickBot="1" x14ac:dyDescent="0.25">
      <c r="A66" s="12" t="s">
        <v>98</v>
      </c>
      <c r="B66" s="98"/>
      <c r="C66" s="98"/>
      <c r="D66" s="11"/>
      <c r="E66" s="51">
        <f>E65+E57+E36</f>
        <v>0</v>
      </c>
      <c r="F66" s="51">
        <f>F65+F57+F36</f>
        <v>0</v>
      </c>
      <c r="G66" s="51">
        <f>G65+G57+G36</f>
        <v>0</v>
      </c>
      <c r="H66" s="51">
        <f>H65+H57+H36</f>
        <v>0</v>
      </c>
      <c r="I66" s="66">
        <f>I65+I57+I36</f>
        <v>8008000</v>
      </c>
    </row>
    <row r="67" spans="1:9" ht="9" customHeight="1" x14ac:dyDescent="0.2">
      <c r="A67" s="18"/>
      <c r="B67" s="18"/>
      <c r="C67" s="18"/>
      <c r="D67" s="19"/>
      <c r="E67" s="55"/>
      <c r="F67" s="55"/>
      <c r="G67" s="55"/>
      <c r="H67" s="55"/>
      <c r="I67" s="55"/>
    </row>
    <row r="68" spans="1:9" x14ac:dyDescent="0.2">
      <c r="A68" s="22" t="s">
        <v>224</v>
      </c>
      <c r="B68" s="22"/>
      <c r="C68" s="22"/>
      <c r="D68" s="22" t="s">
        <v>172</v>
      </c>
      <c r="E68" s="22"/>
      <c r="F68" s="15"/>
      <c r="G68" s="527" t="s">
        <v>16</v>
      </c>
      <c r="H68" s="527"/>
      <c r="I68" s="8"/>
    </row>
    <row r="69" spans="1:9" ht="12.75" hidden="1" customHeight="1" x14ac:dyDescent="0.2">
      <c r="A69" s="8"/>
      <c r="B69" s="8"/>
      <c r="C69" s="8"/>
      <c r="D69" s="15"/>
      <c r="E69" s="15"/>
      <c r="F69" s="15"/>
      <c r="G69" s="15"/>
      <c r="H69" s="15"/>
      <c r="I69" s="15"/>
    </row>
    <row r="70" spans="1:9" ht="12.75" customHeight="1" x14ac:dyDescent="0.2">
      <c r="A70" s="8"/>
      <c r="B70" s="8"/>
      <c r="C70" s="8"/>
      <c r="D70" s="15"/>
      <c r="E70" s="15"/>
      <c r="F70" s="15"/>
      <c r="G70" s="15"/>
      <c r="H70" s="15"/>
      <c r="I70" s="15"/>
    </row>
    <row r="71" spans="1:9" x14ac:dyDescent="0.2">
      <c r="A71" s="8"/>
      <c r="B71" s="8"/>
      <c r="C71" s="8"/>
      <c r="D71" s="15"/>
      <c r="E71" s="15"/>
      <c r="F71" s="15"/>
      <c r="G71" s="15"/>
      <c r="H71" s="15"/>
      <c r="I71" s="15"/>
    </row>
    <row r="72" spans="1:9" x14ac:dyDescent="0.2">
      <c r="A72" s="529" t="s">
        <v>342</v>
      </c>
      <c r="B72" s="529"/>
      <c r="C72" s="529"/>
      <c r="D72" s="528" t="s">
        <v>259</v>
      </c>
      <c r="E72" s="528"/>
      <c r="F72" s="528"/>
      <c r="G72" s="23"/>
      <c r="H72" s="529" t="s">
        <v>271</v>
      </c>
      <c r="I72" s="529"/>
    </row>
    <row r="73" spans="1:9" ht="12.75" customHeight="1" x14ac:dyDescent="0.2">
      <c r="A73" s="519" t="s">
        <v>331</v>
      </c>
      <c r="B73" s="519"/>
      <c r="C73" s="519"/>
      <c r="D73" s="518" t="s">
        <v>270</v>
      </c>
      <c r="E73" s="518"/>
      <c r="F73" s="518"/>
      <c r="G73" s="15"/>
      <c r="H73" s="519" t="s">
        <v>51</v>
      </c>
      <c r="I73" s="519"/>
    </row>
    <row r="74" spans="1:9" ht="10.5" customHeight="1" x14ac:dyDescent="0.2">
      <c r="A74" s="40"/>
      <c r="B74" s="40"/>
      <c r="C74" s="40"/>
      <c r="D74" s="41"/>
      <c r="E74" s="60"/>
      <c r="F74" s="60"/>
      <c r="G74" s="60"/>
      <c r="H74" s="60"/>
      <c r="I74" s="60"/>
    </row>
    <row r="75" spans="1:9" x14ac:dyDescent="0.2">
      <c r="A75" s="8"/>
      <c r="B75" s="8"/>
      <c r="C75" s="8"/>
      <c r="D75" s="31"/>
      <c r="E75" s="34"/>
      <c r="F75" s="34"/>
      <c r="G75" s="34"/>
      <c r="H75" s="34"/>
      <c r="I75" s="34"/>
    </row>
    <row r="76" spans="1:9" x14ac:dyDescent="0.2">
      <c r="A76" s="22"/>
      <c r="B76" s="22"/>
      <c r="C76" s="22"/>
      <c r="D76" s="31"/>
      <c r="E76" s="34"/>
      <c r="F76" s="34"/>
      <c r="G76" s="34"/>
      <c r="H76" s="34"/>
      <c r="I76" s="34"/>
    </row>
    <row r="77" spans="1:9" x14ac:dyDescent="0.2">
      <c r="A77" s="8"/>
      <c r="B77" s="8"/>
      <c r="C77" s="8"/>
      <c r="D77" s="31"/>
      <c r="E77" s="34"/>
      <c r="F77" s="34"/>
      <c r="G77" s="34"/>
      <c r="H77" s="34"/>
      <c r="I77" s="34"/>
    </row>
    <row r="78" spans="1:9" x14ac:dyDescent="0.2">
      <c r="A78" s="8"/>
      <c r="B78" s="8"/>
      <c r="C78" s="8"/>
      <c r="D78" s="31"/>
      <c r="E78" s="34"/>
      <c r="F78" s="34"/>
      <c r="G78" s="34"/>
      <c r="H78" s="34"/>
      <c r="I78" s="34"/>
    </row>
    <row r="79" spans="1:9" x14ac:dyDescent="0.2">
      <c r="A79" s="8"/>
      <c r="B79" s="8"/>
      <c r="C79" s="8"/>
      <c r="D79" s="31"/>
      <c r="E79" s="34"/>
      <c r="F79" s="34"/>
      <c r="G79" s="34"/>
      <c r="H79" s="34"/>
      <c r="I79" s="34"/>
    </row>
    <row r="80" spans="1:9" x14ac:dyDescent="0.2">
      <c r="A80" s="18"/>
      <c r="B80" s="18"/>
      <c r="C80" s="18"/>
      <c r="D80" s="31"/>
      <c r="E80" s="34"/>
      <c r="F80" s="34"/>
      <c r="G80" s="34"/>
      <c r="H80" s="34"/>
      <c r="I80" s="34"/>
    </row>
    <row r="81" spans="1:9" x14ac:dyDescent="0.2">
      <c r="A81" s="18"/>
      <c r="B81" s="18"/>
      <c r="C81" s="18"/>
      <c r="D81" s="27"/>
      <c r="E81" s="38"/>
      <c r="F81" s="38"/>
      <c r="G81" s="38"/>
      <c r="H81" s="38"/>
      <c r="I81" s="38"/>
    </row>
    <row r="82" spans="1:9" x14ac:dyDescent="0.2">
      <c r="A82" s="8"/>
      <c r="B82" s="8"/>
      <c r="C82" s="8"/>
      <c r="D82" s="31"/>
      <c r="E82" s="34"/>
      <c r="F82" s="34"/>
      <c r="G82" s="34"/>
      <c r="H82" s="34"/>
      <c r="I82" s="34"/>
    </row>
    <row r="83" spans="1:9" x14ac:dyDescent="0.2">
      <c r="A83" s="22"/>
      <c r="B83" s="22"/>
      <c r="C83" s="22"/>
      <c r="D83" s="27"/>
      <c r="E83" s="27"/>
      <c r="F83" s="27"/>
      <c r="G83" s="27"/>
      <c r="H83" s="27"/>
      <c r="I83" s="27"/>
    </row>
    <row r="84" spans="1:9" x14ac:dyDescent="0.2">
      <c r="A84" s="8"/>
      <c r="B84" s="8"/>
      <c r="C84" s="8"/>
      <c r="D84" s="27"/>
      <c r="E84" s="27"/>
      <c r="F84" s="27"/>
      <c r="G84" s="27"/>
      <c r="H84" s="27"/>
      <c r="I84" s="27"/>
    </row>
    <row r="85" spans="1:9" x14ac:dyDescent="0.2">
      <c r="A85" s="4"/>
      <c r="B85" s="4"/>
      <c r="C85" s="4"/>
      <c r="D85" s="19"/>
      <c r="E85" s="19"/>
      <c r="F85" s="19"/>
      <c r="G85" s="19"/>
      <c r="H85" s="19"/>
      <c r="I85" s="27"/>
    </row>
    <row r="86" spans="1:9" x14ac:dyDescent="0.2">
      <c r="A86" s="4"/>
      <c r="B86" s="4"/>
      <c r="C86" s="4"/>
      <c r="D86" s="19"/>
      <c r="E86" s="19"/>
      <c r="F86" s="19"/>
      <c r="G86" s="19"/>
      <c r="H86" s="19"/>
      <c r="I86" s="27"/>
    </row>
    <row r="87" spans="1:9" x14ac:dyDescent="0.2">
      <c r="A87" s="8"/>
      <c r="B87" s="8"/>
      <c r="C87" s="8"/>
      <c r="D87" s="27"/>
      <c r="E87" s="19"/>
      <c r="F87" s="19"/>
      <c r="G87" s="19"/>
      <c r="H87" s="27"/>
      <c r="I87" s="19"/>
    </row>
    <row r="88" spans="1:9" x14ac:dyDescent="0.2">
      <c r="A88" s="8"/>
      <c r="B88" s="8"/>
      <c r="C88" s="8"/>
      <c r="D88" s="35"/>
      <c r="E88" s="35"/>
      <c r="F88" s="35"/>
      <c r="G88" s="35"/>
      <c r="H88" s="35"/>
      <c r="I88" s="35"/>
    </row>
    <row r="89" spans="1:9" x14ac:dyDescent="0.2">
      <c r="A89" s="8"/>
      <c r="B89" s="8"/>
      <c r="C89" s="8"/>
      <c r="D89" s="35"/>
      <c r="E89" s="35"/>
      <c r="F89" s="35"/>
      <c r="G89" s="35"/>
      <c r="H89" s="35"/>
      <c r="I89" s="35"/>
    </row>
  </sheetData>
  <mergeCells count="12">
    <mergeCell ref="D72:F72"/>
    <mergeCell ref="H72:I72"/>
    <mergeCell ref="A73:C73"/>
    <mergeCell ref="D73:F73"/>
    <mergeCell ref="H73:I73"/>
    <mergeCell ref="A5:G5"/>
    <mergeCell ref="D8:G8"/>
    <mergeCell ref="A10:C12"/>
    <mergeCell ref="F10:H10"/>
    <mergeCell ref="H11:H12"/>
    <mergeCell ref="G68:H68"/>
    <mergeCell ref="A72:C72"/>
  </mergeCells>
  <pageMargins left="0.39370078740157483" right="0.11811023622047245" top="0.15748031496062992" bottom="0.19685039370078741" header="0.31496062992125984" footer="0.31496062992125984"/>
  <pageSetup paperSize="14" scale="92" orientation="portrait" horizontalDpi="0" verticalDpi="0" r:id="rId1"/>
  <rowBreaks count="1" manualBreakCount="1">
    <brk id="82" max="16383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K89"/>
  <sheetViews>
    <sheetView view="pageBreakPreview" topLeftCell="A19" zoomScale="111" zoomScaleNormal="100" zoomScaleSheetLayoutView="111" workbookViewId="0">
      <selection activeCell="L9" sqref="L9"/>
    </sheetView>
  </sheetViews>
  <sheetFormatPr defaultColWidth="9.28515625" defaultRowHeight="12.75" x14ac:dyDescent="0.2"/>
  <cols>
    <col min="1" max="1" width="21" style="15" customWidth="1"/>
    <col min="2" max="2" width="2.7109375" style="15" customWidth="1"/>
    <col min="3" max="3" width="27.7109375" style="15" customWidth="1"/>
    <col min="4" max="4" width="9.85546875" style="28" customWidth="1"/>
    <col min="5" max="5" width="12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8" t="s">
        <v>344</v>
      </c>
      <c r="B1" s="471"/>
      <c r="C1" s="471"/>
      <c r="D1" s="471"/>
      <c r="E1" s="471"/>
      <c r="F1" s="471"/>
      <c r="G1" s="471"/>
    </row>
    <row r="2" spans="1:11" x14ac:dyDescent="0.2">
      <c r="A2" s="478" t="s">
        <v>345</v>
      </c>
      <c r="B2" s="479"/>
      <c r="C2" s="479"/>
      <c r="D2" s="479"/>
      <c r="E2" s="479"/>
      <c r="F2" s="479"/>
      <c r="G2" s="479"/>
    </row>
    <row r="3" spans="1:11" x14ac:dyDescent="0.2">
      <c r="A3" s="480" t="s">
        <v>346</v>
      </c>
      <c r="B3" s="479"/>
      <c r="C3" s="479"/>
      <c r="D3" s="479"/>
      <c r="E3" s="479"/>
      <c r="F3" s="479"/>
      <c r="G3" s="479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11" x14ac:dyDescent="0.2">
      <c r="A6" s="482"/>
      <c r="B6" s="482"/>
      <c r="C6" s="482"/>
      <c r="D6" s="482"/>
      <c r="E6" s="482"/>
      <c r="F6" s="482"/>
      <c r="G6" s="482"/>
    </row>
    <row r="7" spans="1:11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485"/>
    </row>
    <row r="8" spans="1:11" ht="15.75" customHeight="1" x14ac:dyDescent="0.2">
      <c r="A8" s="486" t="s">
        <v>351</v>
      </c>
      <c r="B8" s="487" t="s">
        <v>352</v>
      </c>
      <c r="C8" s="488"/>
      <c r="D8" s="486" t="s">
        <v>353</v>
      </c>
      <c r="E8" s="540" t="s">
        <v>365</v>
      </c>
      <c r="F8" s="540"/>
      <c r="G8" s="540"/>
    </row>
    <row r="9" spans="1:11" ht="30.75" customHeight="1" x14ac:dyDescent="0.2">
      <c r="A9" s="486" t="s">
        <v>354</v>
      </c>
      <c r="B9" s="487" t="s">
        <v>355</v>
      </c>
      <c r="C9" s="488"/>
      <c r="D9" s="488"/>
      <c r="E9" s="488"/>
      <c r="F9" s="488"/>
      <c r="G9" s="488"/>
    </row>
    <row r="10" spans="1:11" ht="13.5" thickBot="1" x14ac:dyDescent="0.25">
      <c r="A10" s="515"/>
      <c r="B10" s="515"/>
      <c r="C10" s="515"/>
      <c r="D10" s="516"/>
      <c r="E10" s="516"/>
      <c r="F10" s="516"/>
      <c r="G10" s="516"/>
    </row>
    <row r="11" spans="1:11" ht="13.5" thickBot="1" x14ac:dyDescent="0.25">
      <c r="A11" s="520" t="s">
        <v>27</v>
      </c>
      <c r="B11" s="532"/>
      <c r="C11" s="532"/>
      <c r="D11" s="448" t="s">
        <v>15</v>
      </c>
      <c r="E11" s="443" t="s">
        <v>1</v>
      </c>
      <c r="F11" s="522" t="s">
        <v>329</v>
      </c>
      <c r="G11" s="523"/>
      <c r="H11" s="524"/>
      <c r="I11" s="444" t="s">
        <v>3</v>
      </c>
    </row>
    <row r="12" spans="1:11" x14ac:dyDescent="0.2">
      <c r="A12" s="521"/>
      <c r="B12" s="534"/>
      <c r="C12" s="534"/>
      <c r="D12" s="449" t="s">
        <v>0</v>
      </c>
      <c r="E12" s="446">
        <v>2022</v>
      </c>
      <c r="F12" s="156" t="s">
        <v>167</v>
      </c>
      <c r="G12" s="245" t="s">
        <v>168</v>
      </c>
      <c r="H12" s="525" t="s">
        <v>169</v>
      </c>
      <c r="I12" s="447">
        <v>2024</v>
      </c>
    </row>
    <row r="13" spans="1:11" x14ac:dyDescent="0.2">
      <c r="A13" s="521"/>
      <c r="B13" s="534"/>
      <c r="C13" s="534"/>
      <c r="D13" s="180"/>
      <c r="E13" s="446" t="s">
        <v>2</v>
      </c>
      <c r="F13" s="449" t="s">
        <v>2</v>
      </c>
      <c r="G13" s="446" t="s">
        <v>183</v>
      </c>
      <c r="H13" s="526"/>
      <c r="I13" s="447" t="s">
        <v>33</v>
      </c>
    </row>
    <row r="14" spans="1:11" s="61" customFormat="1" ht="13.5" thickBot="1" x14ac:dyDescent="0.25">
      <c r="A14" s="451" t="s">
        <v>28</v>
      </c>
      <c r="B14" s="452"/>
      <c r="C14" s="452"/>
      <c r="D14" s="158" t="s">
        <v>29</v>
      </c>
      <c r="E14" s="452" t="s">
        <v>30</v>
      </c>
      <c r="F14" s="158" t="s">
        <v>31</v>
      </c>
      <c r="G14" s="452" t="s">
        <v>32</v>
      </c>
      <c r="H14" s="158" t="s">
        <v>170</v>
      </c>
      <c r="I14" s="453" t="s">
        <v>171</v>
      </c>
      <c r="K14" s="457"/>
    </row>
    <row r="15" spans="1:11" x14ac:dyDescent="0.2">
      <c r="A15" s="163" t="s">
        <v>4</v>
      </c>
      <c r="B15" s="4"/>
      <c r="C15" s="4"/>
      <c r="D15" s="159"/>
      <c r="E15" s="27"/>
      <c r="F15" s="159"/>
      <c r="G15" s="27"/>
      <c r="H15" s="159"/>
      <c r="I15" s="141"/>
    </row>
    <row r="16" spans="1:11" ht="12" customHeight="1" x14ac:dyDescent="0.2">
      <c r="A16" s="163" t="s">
        <v>5</v>
      </c>
      <c r="B16" s="4"/>
      <c r="C16" s="4"/>
      <c r="D16" s="160"/>
      <c r="E16" s="39"/>
      <c r="F16" s="160"/>
      <c r="G16" s="39"/>
      <c r="H16" s="160"/>
      <c r="I16" s="142"/>
    </row>
    <row r="17" spans="1:11" x14ac:dyDescent="0.2">
      <c r="A17" s="136" t="s">
        <v>46</v>
      </c>
      <c r="B17" s="85"/>
      <c r="C17" s="85"/>
      <c r="D17" s="181" t="s">
        <v>100</v>
      </c>
      <c r="E17" s="161">
        <v>0</v>
      </c>
      <c r="F17" s="239">
        <v>0</v>
      </c>
      <c r="G17" s="239">
        <v>0</v>
      </c>
      <c r="H17" s="239">
        <v>0</v>
      </c>
      <c r="I17" s="438">
        <v>1110000</v>
      </c>
    </row>
    <row r="18" spans="1:11" x14ac:dyDescent="0.2">
      <c r="A18" s="136" t="s">
        <v>55</v>
      </c>
      <c r="B18" s="85"/>
      <c r="C18" s="85"/>
      <c r="D18" s="181" t="s">
        <v>101</v>
      </c>
      <c r="E18" s="161">
        <v>0</v>
      </c>
      <c r="F18" s="239">
        <v>0</v>
      </c>
      <c r="G18" s="239">
        <v>0</v>
      </c>
      <c r="H18" s="239">
        <v>0</v>
      </c>
      <c r="I18" s="438">
        <v>24000</v>
      </c>
    </row>
    <row r="19" spans="1:11" x14ac:dyDescent="0.2">
      <c r="A19" s="136" t="s">
        <v>73</v>
      </c>
      <c r="B19" s="85"/>
      <c r="C19" s="85"/>
      <c r="D19" s="181" t="s">
        <v>120</v>
      </c>
      <c r="E19" s="161">
        <v>0</v>
      </c>
      <c r="F19" s="239">
        <v>0</v>
      </c>
      <c r="G19" s="239">
        <v>0</v>
      </c>
      <c r="H19" s="239">
        <v>0</v>
      </c>
      <c r="I19" s="438">
        <v>91800</v>
      </c>
    </row>
    <row r="20" spans="1:11" x14ac:dyDescent="0.2">
      <c r="A20" s="136" t="s">
        <v>74</v>
      </c>
      <c r="B20" s="85"/>
      <c r="C20" s="85"/>
      <c r="D20" s="181" t="s">
        <v>121</v>
      </c>
      <c r="E20" s="161">
        <v>0</v>
      </c>
      <c r="F20" s="239">
        <v>0</v>
      </c>
      <c r="G20" s="239">
        <v>0</v>
      </c>
      <c r="H20" s="239">
        <v>0</v>
      </c>
      <c r="I20" s="438">
        <v>0</v>
      </c>
    </row>
    <row r="21" spans="1:11" x14ac:dyDescent="0.2">
      <c r="A21" s="136" t="s">
        <v>42</v>
      </c>
      <c r="B21" s="85"/>
      <c r="C21" s="85"/>
      <c r="D21" s="181" t="s">
        <v>102</v>
      </c>
      <c r="E21" s="161">
        <v>0</v>
      </c>
      <c r="F21" s="239">
        <v>0</v>
      </c>
      <c r="G21" s="239">
        <v>0</v>
      </c>
      <c r="H21" s="239">
        <v>0</v>
      </c>
      <c r="I21" s="438">
        <v>6000</v>
      </c>
    </row>
    <row r="22" spans="1:11" s="61" customFormat="1" x14ac:dyDescent="0.2">
      <c r="A22" s="137" t="s">
        <v>182</v>
      </c>
      <c r="B22" s="101"/>
      <c r="C22" s="101"/>
      <c r="D22" s="288" t="s">
        <v>158</v>
      </c>
      <c r="E22" s="161">
        <v>0</v>
      </c>
      <c r="F22" s="239">
        <v>0</v>
      </c>
      <c r="G22" s="239">
        <v>0</v>
      </c>
      <c r="H22" s="239">
        <v>0</v>
      </c>
      <c r="I22" s="438">
        <v>0</v>
      </c>
      <c r="K22" s="457"/>
    </row>
    <row r="23" spans="1:11" x14ac:dyDescent="0.2">
      <c r="A23" s="136" t="s">
        <v>95</v>
      </c>
      <c r="B23" s="85"/>
      <c r="C23" s="85"/>
      <c r="D23" s="181" t="s">
        <v>104</v>
      </c>
      <c r="E23" s="161">
        <v>0</v>
      </c>
      <c r="F23" s="239">
        <v>0</v>
      </c>
      <c r="G23" s="239">
        <v>0</v>
      </c>
      <c r="H23" s="239">
        <v>0</v>
      </c>
      <c r="I23" s="438">
        <v>93000</v>
      </c>
    </row>
    <row r="24" spans="1:11" x14ac:dyDescent="0.2">
      <c r="A24" s="136" t="s">
        <v>150</v>
      </c>
      <c r="B24" s="85"/>
      <c r="C24" s="85"/>
      <c r="D24" s="181" t="s">
        <v>127</v>
      </c>
      <c r="E24" s="161">
        <v>0</v>
      </c>
      <c r="F24" s="239">
        <v>0</v>
      </c>
      <c r="G24" s="239">
        <v>0</v>
      </c>
      <c r="H24" s="239">
        <v>0</v>
      </c>
      <c r="I24" s="438">
        <v>93000</v>
      </c>
    </row>
    <row r="25" spans="1:11" x14ac:dyDescent="0.2">
      <c r="A25" s="136" t="s">
        <v>10</v>
      </c>
      <c r="B25" s="85"/>
      <c r="C25" s="85"/>
      <c r="D25" s="181" t="s">
        <v>103</v>
      </c>
      <c r="E25" s="161">
        <v>0</v>
      </c>
      <c r="F25" s="239">
        <v>0</v>
      </c>
      <c r="G25" s="239">
        <v>0</v>
      </c>
      <c r="H25" s="239">
        <v>0</v>
      </c>
      <c r="I25" s="438">
        <v>5000</v>
      </c>
    </row>
    <row r="26" spans="1:11" x14ac:dyDescent="0.2">
      <c r="A26" s="136" t="s">
        <v>160</v>
      </c>
      <c r="B26" s="85"/>
      <c r="C26" s="85"/>
      <c r="D26" s="181" t="s">
        <v>105</v>
      </c>
      <c r="E26" s="161">
        <v>0</v>
      </c>
      <c r="F26" s="239">
        <v>0</v>
      </c>
      <c r="G26" s="239">
        <v>0</v>
      </c>
      <c r="H26" s="239">
        <v>0</v>
      </c>
      <c r="I26" s="438">
        <v>134000</v>
      </c>
    </row>
    <row r="27" spans="1:11" x14ac:dyDescent="0.2">
      <c r="A27" s="136" t="s">
        <v>57</v>
      </c>
      <c r="B27" s="85"/>
      <c r="C27" s="85"/>
      <c r="D27" s="181" t="s">
        <v>106</v>
      </c>
      <c r="E27" s="161">
        <v>0</v>
      </c>
      <c r="F27" s="239">
        <v>0</v>
      </c>
      <c r="G27" s="239">
        <v>0</v>
      </c>
      <c r="H27" s="239">
        <v>0</v>
      </c>
      <c r="I27" s="438">
        <v>23000</v>
      </c>
    </row>
    <row r="28" spans="1:11" x14ac:dyDescent="0.2">
      <c r="A28" s="136" t="s">
        <v>58</v>
      </c>
      <c r="B28" s="85"/>
      <c r="C28" s="85"/>
      <c r="D28" s="181" t="s">
        <v>107</v>
      </c>
      <c r="E28" s="161">
        <v>0</v>
      </c>
      <c r="F28" s="239">
        <v>0</v>
      </c>
      <c r="G28" s="239">
        <v>0</v>
      </c>
      <c r="H28" s="239">
        <v>0</v>
      </c>
      <c r="I28" s="438">
        <v>28000</v>
      </c>
    </row>
    <row r="29" spans="1:11" x14ac:dyDescent="0.2">
      <c r="A29" s="136" t="s">
        <v>188</v>
      </c>
      <c r="B29" s="85"/>
      <c r="C29" s="85"/>
      <c r="D29" s="181"/>
      <c r="E29" s="161"/>
      <c r="F29" s="239"/>
      <c r="G29" s="239"/>
      <c r="H29" s="239"/>
      <c r="I29" s="438"/>
    </row>
    <row r="30" spans="1:11" x14ac:dyDescent="0.2">
      <c r="A30" s="136" t="s">
        <v>196</v>
      </c>
      <c r="B30" s="85"/>
      <c r="C30" s="85"/>
      <c r="D30" s="181" t="s">
        <v>108</v>
      </c>
      <c r="E30" s="161">
        <v>0</v>
      </c>
      <c r="F30" s="239">
        <v>0</v>
      </c>
      <c r="G30" s="239">
        <v>0</v>
      </c>
      <c r="H30" s="239">
        <v>0</v>
      </c>
      <c r="I30" s="438">
        <v>1200</v>
      </c>
    </row>
    <row r="31" spans="1:11" x14ac:dyDescent="0.2">
      <c r="A31" s="136" t="s">
        <v>45</v>
      </c>
      <c r="B31" s="85"/>
      <c r="C31" s="85"/>
      <c r="D31" s="181" t="s">
        <v>128</v>
      </c>
      <c r="E31" s="161">
        <v>0</v>
      </c>
      <c r="F31" s="239">
        <v>0</v>
      </c>
      <c r="G31" s="239">
        <v>0</v>
      </c>
      <c r="H31" s="239">
        <v>0</v>
      </c>
      <c r="I31" s="438">
        <v>147000</v>
      </c>
    </row>
    <row r="32" spans="1:11" x14ac:dyDescent="0.2">
      <c r="A32" s="136" t="s">
        <v>60</v>
      </c>
      <c r="B32" s="85"/>
      <c r="C32" s="85"/>
      <c r="D32" s="181" t="s">
        <v>129</v>
      </c>
      <c r="E32" s="161">
        <v>0</v>
      </c>
      <c r="F32" s="239">
        <v>0</v>
      </c>
      <c r="G32" s="239">
        <v>0</v>
      </c>
      <c r="H32" s="239">
        <v>0</v>
      </c>
      <c r="I32" s="438">
        <v>5000</v>
      </c>
    </row>
    <row r="33" spans="1:11" x14ac:dyDescent="0.2">
      <c r="A33" s="137" t="s">
        <v>72</v>
      </c>
      <c r="B33" s="101"/>
      <c r="C33" s="101"/>
      <c r="D33" s="181" t="s">
        <v>130</v>
      </c>
      <c r="E33" s="161">
        <v>0</v>
      </c>
      <c r="F33" s="239">
        <v>0</v>
      </c>
      <c r="G33" s="239">
        <v>0</v>
      </c>
      <c r="H33" s="239">
        <v>0</v>
      </c>
      <c r="I33" s="438">
        <v>0</v>
      </c>
    </row>
    <row r="34" spans="1:11" x14ac:dyDescent="0.2">
      <c r="A34" s="137" t="s">
        <v>89</v>
      </c>
      <c r="B34" s="101"/>
      <c r="C34" s="101"/>
      <c r="D34" s="181" t="s">
        <v>131</v>
      </c>
      <c r="E34" s="161">
        <v>0</v>
      </c>
      <c r="F34" s="239">
        <v>0</v>
      </c>
      <c r="G34" s="239">
        <v>0</v>
      </c>
      <c r="H34" s="239">
        <v>0</v>
      </c>
      <c r="I34" s="438">
        <v>0</v>
      </c>
    </row>
    <row r="35" spans="1:11" x14ac:dyDescent="0.2">
      <c r="A35" s="137" t="s">
        <v>260</v>
      </c>
      <c r="B35" s="101"/>
      <c r="C35" s="101"/>
      <c r="D35" s="184" t="s">
        <v>261</v>
      </c>
      <c r="E35" s="161">
        <v>0</v>
      </c>
      <c r="F35" s="239">
        <v>0</v>
      </c>
      <c r="G35" s="239">
        <v>0</v>
      </c>
      <c r="H35" s="239">
        <v>0</v>
      </c>
      <c r="I35" s="438">
        <v>0</v>
      </c>
    </row>
    <row r="36" spans="1:11" s="61" customFormat="1" ht="13.5" thickBot="1" x14ac:dyDescent="0.25">
      <c r="A36" s="137" t="s">
        <v>293</v>
      </c>
      <c r="B36" s="101"/>
      <c r="C36" s="101"/>
      <c r="D36" s="289" t="s">
        <v>292</v>
      </c>
      <c r="E36" s="161">
        <v>0</v>
      </c>
      <c r="F36" s="239">
        <v>0</v>
      </c>
      <c r="G36" s="239">
        <v>0</v>
      </c>
      <c r="H36" s="239">
        <v>0</v>
      </c>
      <c r="I36" s="254">
        <v>0</v>
      </c>
      <c r="K36" s="457"/>
    </row>
    <row r="37" spans="1:11" ht="11.25" customHeight="1" thickBot="1" x14ac:dyDescent="0.25">
      <c r="A37" s="12" t="s">
        <v>6</v>
      </c>
      <c r="B37" s="98"/>
      <c r="C37" s="98"/>
      <c r="D37" s="72"/>
      <c r="E37" s="118">
        <f>SUM(E17:E36)</f>
        <v>0</v>
      </c>
      <c r="F37" s="118">
        <f>SUM(F17:F36)</f>
        <v>0</v>
      </c>
      <c r="G37" s="118">
        <f>SUM(G17:G36)</f>
        <v>0</v>
      </c>
      <c r="H37" s="118">
        <f>SUM(H17:H36)</f>
        <v>0</v>
      </c>
      <c r="I37" s="120">
        <f>SUM(I17:I36)</f>
        <v>1761000</v>
      </c>
    </row>
    <row r="38" spans="1:11" x14ac:dyDescent="0.2">
      <c r="A38" s="163" t="s">
        <v>7</v>
      </c>
      <c r="B38" s="4"/>
      <c r="C38" s="4"/>
      <c r="D38" s="183"/>
      <c r="E38" s="275"/>
      <c r="F38" s="278"/>
      <c r="G38" s="275"/>
      <c r="H38" s="162"/>
      <c r="I38" s="146"/>
    </row>
    <row r="39" spans="1:11" x14ac:dyDescent="0.2">
      <c r="A39" s="137" t="s">
        <v>8</v>
      </c>
      <c r="B39" s="85"/>
      <c r="C39" s="85"/>
      <c r="D39" s="181" t="s">
        <v>109</v>
      </c>
      <c r="E39" s="161">
        <v>0</v>
      </c>
      <c r="F39" s="239">
        <v>0</v>
      </c>
      <c r="G39" s="239">
        <v>0</v>
      </c>
      <c r="H39" s="239">
        <v>0</v>
      </c>
      <c r="I39" s="188">
        <v>1000000</v>
      </c>
    </row>
    <row r="40" spans="1:11" x14ac:dyDescent="0.2">
      <c r="A40" s="137" t="s">
        <v>281</v>
      </c>
      <c r="B40" s="85"/>
      <c r="C40" s="85"/>
      <c r="D40" s="181" t="s">
        <v>110</v>
      </c>
      <c r="E40" s="161">
        <v>0</v>
      </c>
      <c r="F40" s="239">
        <v>0</v>
      </c>
      <c r="G40" s="239">
        <v>0</v>
      </c>
      <c r="H40" s="239">
        <v>0</v>
      </c>
      <c r="I40" s="188">
        <v>1000000</v>
      </c>
    </row>
    <row r="41" spans="1:11" x14ac:dyDescent="0.2">
      <c r="A41" s="137" t="s">
        <v>13</v>
      </c>
      <c r="B41" s="85"/>
      <c r="C41" s="85"/>
      <c r="D41" s="181" t="s">
        <v>111</v>
      </c>
      <c r="E41" s="161">
        <v>0</v>
      </c>
      <c r="F41" s="239">
        <v>0</v>
      </c>
      <c r="G41" s="239">
        <v>0</v>
      </c>
      <c r="H41" s="239">
        <v>0</v>
      </c>
      <c r="I41" s="188">
        <v>150000</v>
      </c>
    </row>
    <row r="42" spans="1:11" x14ac:dyDescent="0.2">
      <c r="A42" s="136" t="s">
        <v>163</v>
      </c>
      <c r="B42" s="85"/>
      <c r="C42" s="85"/>
      <c r="D42" s="181" t="s">
        <v>122</v>
      </c>
      <c r="E42" s="161">
        <v>0</v>
      </c>
      <c r="F42" s="239">
        <v>0</v>
      </c>
      <c r="G42" s="239">
        <v>0</v>
      </c>
      <c r="H42" s="239">
        <v>0</v>
      </c>
      <c r="I42" s="188">
        <v>1000000</v>
      </c>
    </row>
    <row r="43" spans="1:11" x14ac:dyDescent="0.2">
      <c r="A43" s="136" t="s">
        <v>164</v>
      </c>
      <c r="B43" s="85"/>
      <c r="C43" s="85"/>
      <c r="D43" s="181" t="s">
        <v>112</v>
      </c>
      <c r="E43" s="161">
        <v>0</v>
      </c>
      <c r="F43" s="239">
        <v>0</v>
      </c>
      <c r="G43" s="239">
        <v>0</v>
      </c>
      <c r="H43" s="239">
        <v>0</v>
      </c>
      <c r="I43" s="188">
        <v>300000</v>
      </c>
    </row>
    <row r="44" spans="1:11" x14ac:dyDescent="0.2">
      <c r="A44" s="137" t="s">
        <v>165</v>
      </c>
      <c r="B44" s="101"/>
      <c r="C44" s="230"/>
      <c r="D44" s="288" t="s">
        <v>113</v>
      </c>
      <c r="E44" s="161">
        <v>0</v>
      </c>
      <c r="F44" s="239">
        <v>0</v>
      </c>
      <c r="G44" s="239">
        <v>0</v>
      </c>
      <c r="H44" s="239">
        <v>0</v>
      </c>
      <c r="I44" s="188">
        <v>10000</v>
      </c>
    </row>
    <row r="45" spans="1:11" x14ac:dyDescent="0.2">
      <c r="A45" s="136" t="s">
        <v>166</v>
      </c>
      <c r="B45" s="85"/>
      <c r="C45" s="85"/>
      <c r="D45" s="181" t="s">
        <v>114</v>
      </c>
      <c r="E45" s="161">
        <v>0</v>
      </c>
      <c r="F45" s="239">
        <v>0</v>
      </c>
      <c r="G45" s="239">
        <v>0</v>
      </c>
      <c r="H45" s="239">
        <v>0</v>
      </c>
      <c r="I45" s="188">
        <v>48000</v>
      </c>
    </row>
    <row r="46" spans="1:11" x14ac:dyDescent="0.2">
      <c r="A46" s="136" t="s">
        <v>197</v>
      </c>
      <c r="B46" s="85"/>
      <c r="C46" s="85"/>
      <c r="D46" s="181"/>
      <c r="E46" s="161"/>
      <c r="F46" s="239"/>
      <c r="G46" s="239"/>
      <c r="H46" s="239"/>
      <c r="I46" s="188"/>
    </row>
    <row r="47" spans="1:11" x14ac:dyDescent="0.2">
      <c r="A47" s="136" t="s">
        <v>198</v>
      </c>
      <c r="B47" s="85"/>
      <c r="C47" s="85"/>
      <c r="D47" s="181" t="s">
        <v>147</v>
      </c>
      <c r="E47" s="161">
        <v>0</v>
      </c>
      <c r="F47" s="239">
        <v>0</v>
      </c>
      <c r="G47" s="239">
        <v>0</v>
      </c>
      <c r="H47" s="239">
        <v>0</v>
      </c>
      <c r="I47" s="188">
        <v>100000</v>
      </c>
    </row>
    <row r="48" spans="1:11" x14ac:dyDescent="0.2">
      <c r="A48" s="136" t="s">
        <v>247</v>
      </c>
      <c r="B48" s="85"/>
      <c r="C48" s="85"/>
      <c r="D48" s="181" t="s">
        <v>124</v>
      </c>
      <c r="E48" s="161">
        <v>0</v>
      </c>
      <c r="F48" s="239">
        <v>0</v>
      </c>
      <c r="G48" s="239">
        <v>0</v>
      </c>
      <c r="H48" s="239">
        <v>0</v>
      </c>
      <c r="I48" s="149">
        <v>100000</v>
      </c>
    </row>
    <row r="49" spans="1:9" x14ac:dyDescent="0.2">
      <c r="A49" s="136" t="s">
        <v>336</v>
      </c>
      <c r="B49" s="85"/>
      <c r="C49" s="85"/>
      <c r="D49" s="181" t="s">
        <v>148</v>
      </c>
      <c r="E49" s="161">
        <v>0</v>
      </c>
      <c r="F49" s="239">
        <v>0</v>
      </c>
      <c r="G49" s="239">
        <v>0</v>
      </c>
      <c r="H49" s="239">
        <v>0</v>
      </c>
      <c r="I49" s="149">
        <v>200000</v>
      </c>
    </row>
    <row r="50" spans="1:9" x14ac:dyDescent="0.2">
      <c r="A50" s="136" t="s">
        <v>21</v>
      </c>
      <c r="B50" s="85"/>
      <c r="C50" s="85"/>
      <c r="D50" s="181" t="s">
        <v>144</v>
      </c>
      <c r="E50" s="161">
        <v>0</v>
      </c>
      <c r="F50" s="239">
        <v>0</v>
      </c>
      <c r="G50" s="239">
        <v>0</v>
      </c>
      <c r="H50" s="239">
        <v>0</v>
      </c>
      <c r="I50" s="149">
        <v>25000</v>
      </c>
    </row>
    <row r="51" spans="1:9" x14ac:dyDescent="0.2">
      <c r="A51" s="136" t="s">
        <v>63</v>
      </c>
      <c r="B51" s="85"/>
      <c r="C51" s="85"/>
      <c r="D51" s="181" t="s">
        <v>136</v>
      </c>
      <c r="E51" s="161">
        <v>0</v>
      </c>
      <c r="F51" s="239">
        <v>0</v>
      </c>
      <c r="G51" s="239">
        <v>0</v>
      </c>
      <c r="H51" s="239">
        <v>0</v>
      </c>
      <c r="I51" s="188">
        <v>300000</v>
      </c>
    </row>
    <row r="52" spans="1:9" x14ac:dyDescent="0.2">
      <c r="A52" s="136" t="s">
        <v>262</v>
      </c>
      <c r="B52" s="85"/>
      <c r="C52" s="85"/>
      <c r="D52" s="181" t="s">
        <v>187</v>
      </c>
      <c r="E52" s="161">
        <v>0</v>
      </c>
      <c r="F52" s="239">
        <v>0</v>
      </c>
      <c r="G52" s="239">
        <v>0</v>
      </c>
      <c r="H52" s="239">
        <v>0</v>
      </c>
      <c r="I52" s="188">
        <v>100000</v>
      </c>
    </row>
    <row r="53" spans="1:9" x14ac:dyDescent="0.2">
      <c r="A53" s="136" t="s">
        <v>64</v>
      </c>
      <c r="B53" s="85"/>
      <c r="C53" s="85"/>
      <c r="D53" s="181" t="s">
        <v>137</v>
      </c>
      <c r="E53" s="161">
        <v>0</v>
      </c>
      <c r="F53" s="239">
        <v>0</v>
      </c>
      <c r="G53" s="239">
        <v>0</v>
      </c>
      <c r="H53" s="239">
        <v>0</v>
      </c>
      <c r="I53" s="188">
        <v>1476000</v>
      </c>
    </row>
    <row r="54" spans="1:9" x14ac:dyDescent="0.2">
      <c r="A54" s="136" t="s">
        <v>200</v>
      </c>
      <c r="B54" s="85"/>
      <c r="C54" s="85"/>
      <c r="D54" s="181"/>
      <c r="E54" s="161"/>
      <c r="F54" s="239"/>
      <c r="G54" s="239"/>
      <c r="H54" s="239"/>
      <c r="I54" s="188"/>
    </row>
    <row r="55" spans="1:9" ht="12.6" customHeight="1" x14ac:dyDescent="0.2">
      <c r="A55" s="136" t="s">
        <v>201</v>
      </c>
      <c r="B55" s="85"/>
      <c r="C55" s="85"/>
      <c r="D55" s="181" t="s">
        <v>159</v>
      </c>
      <c r="E55" s="161">
        <v>0</v>
      </c>
      <c r="F55" s="239">
        <v>0</v>
      </c>
      <c r="G55" s="239">
        <v>0</v>
      </c>
      <c r="H55" s="239">
        <v>0</v>
      </c>
      <c r="I55" s="188">
        <v>300000</v>
      </c>
    </row>
    <row r="56" spans="1:9" ht="13.5" thickBot="1" x14ac:dyDescent="0.25">
      <c r="A56" s="136" t="s">
        <v>18</v>
      </c>
      <c r="B56" s="85"/>
      <c r="C56" s="85"/>
      <c r="D56" s="184" t="s">
        <v>116</v>
      </c>
      <c r="E56" s="161">
        <v>0</v>
      </c>
      <c r="F56" s="239">
        <v>0</v>
      </c>
      <c r="G56" s="239">
        <v>0</v>
      </c>
      <c r="H56" s="239">
        <v>0</v>
      </c>
      <c r="I56" s="153">
        <v>400000</v>
      </c>
    </row>
    <row r="57" spans="1:9" ht="10.5" customHeight="1" thickBot="1" x14ac:dyDescent="0.25">
      <c r="A57" s="107" t="s">
        <v>24</v>
      </c>
      <c r="B57" s="97"/>
      <c r="C57" s="97"/>
      <c r="D57" s="72"/>
      <c r="E57" s="52">
        <f>SUM(E39:E56)</f>
        <v>0</v>
      </c>
      <c r="F57" s="52">
        <f>SUM(F39:F56)</f>
        <v>0</v>
      </c>
      <c r="G57" s="52">
        <f>SUM(G39:G56)</f>
        <v>0</v>
      </c>
      <c r="H57" s="52">
        <f>SUM(H39:H56)</f>
        <v>0</v>
      </c>
      <c r="I57" s="52">
        <f>SUM(I39:I56)</f>
        <v>6509000</v>
      </c>
    </row>
    <row r="58" spans="1:9" x14ac:dyDescent="0.2">
      <c r="A58" s="163" t="s">
        <v>9</v>
      </c>
      <c r="B58" s="4"/>
      <c r="C58" s="4"/>
      <c r="D58" s="183"/>
      <c r="E58" s="286"/>
      <c r="F58" s="285"/>
      <c r="G58" s="286"/>
      <c r="H58" s="285"/>
      <c r="I58" s="282"/>
    </row>
    <row r="59" spans="1:9" x14ac:dyDescent="0.2">
      <c r="A59" s="137" t="s">
        <v>304</v>
      </c>
      <c r="B59" s="101"/>
      <c r="C59" s="101"/>
      <c r="D59" s="181" t="s">
        <v>117</v>
      </c>
      <c r="E59" s="161">
        <v>0</v>
      </c>
      <c r="F59" s="239">
        <v>0</v>
      </c>
      <c r="G59" s="239">
        <v>0</v>
      </c>
      <c r="H59" s="239">
        <v>0</v>
      </c>
      <c r="I59" s="149">
        <v>0</v>
      </c>
    </row>
    <row r="60" spans="1:9" x14ac:dyDescent="0.2">
      <c r="A60" s="137" t="s">
        <v>202</v>
      </c>
      <c r="B60" s="101"/>
      <c r="C60" s="101"/>
      <c r="D60" s="181"/>
      <c r="E60" s="161"/>
      <c r="F60" s="239"/>
      <c r="G60" s="239"/>
      <c r="H60" s="239"/>
      <c r="I60" s="149"/>
    </row>
    <row r="61" spans="1:9" x14ac:dyDescent="0.2">
      <c r="A61" s="136" t="s">
        <v>251</v>
      </c>
      <c r="B61" s="85"/>
      <c r="C61" s="85"/>
      <c r="D61" s="181" t="s">
        <v>125</v>
      </c>
      <c r="E61" s="161">
        <v>0</v>
      </c>
      <c r="F61" s="239">
        <v>0</v>
      </c>
      <c r="G61" s="239">
        <v>0</v>
      </c>
      <c r="H61" s="239">
        <v>0</v>
      </c>
      <c r="I61" s="149">
        <v>150000</v>
      </c>
    </row>
    <row r="62" spans="1:9" x14ac:dyDescent="0.2">
      <c r="A62" s="136" t="s">
        <v>327</v>
      </c>
      <c r="B62" s="85"/>
      <c r="C62" s="85"/>
      <c r="D62" s="181" t="s">
        <v>118</v>
      </c>
      <c r="E62" s="161">
        <v>0</v>
      </c>
      <c r="F62" s="239">
        <v>0</v>
      </c>
      <c r="G62" s="239">
        <v>0</v>
      </c>
      <c r="H62" s="239">
        <v>0</v>
      </c>
      <c r="I62" s="149">
        <v>0</v>
      </c>
    </row>
    <row r="63" spans="1:9" x14ac:dyDescent="0.2">
      <c r="A63" s="136" t="s">
        <v>14</v>
      </c>
      <c r="B63" s="85"/>
      <c r="C63" s="85"/>
      <c r="D63" s="181" t="s">
        <v>118</v>
      </c>
      <c r="E63" s="161">
        <v>0</v>
      </c>
      <c r="F63" s="239">
        <v>0</v>
      </c>
      <c r="G63" s="239">
        <v>0</v>
      </c>
      <c r="H63" s="239">
        <v>0</v>
      </c>
      <c r="I63" s="149">
        <v>0</v>
      </c>
    </row>
    <row r="64" spans="1:9" ht="13.5" thickBot="1" x14ac:dyDescent="0.25">
      <c r="A64" s="136" t="s">
        <v>258</v>
      </c>
      <c r="B64" s="85"/>
      <c r="C64" s="85"/>
      <c r="D64" s="184" t="s">
        <v>119</v>
      </c>
      <c r="E64" s="161">
        <v>0</v>
      </c>
      <c r="F64" s="239">
        <v>0</v>
      </c>
      <c r="G64" s="239">
        <v>0</v>
      </c>
      <c r="H64" s="239">
        <v>0</v>
      </c>
      <c r="I64" s="153">
        <v>0</v>
      </c>
    </row>
    <row r="65" spans="1:9" ht="13.5" customHeight="1" thickBot="1" x14ac:dyDescent="0.25">
      <c r="A65" s="12" t="s">
        <v>77</v>
      </c>
      <c r="B65" s="98"/>
      <c r="C65" s="98"/>
      <c r="D65" s="80"/>
      <c r="E65" s="75">
        <f>SUM(E59:E64)</f>
        <v>0</v>
      </c>
      <c r="F65" s="75">
        <f>SUM(F59:F64)</f>
        <v>0</v>
      </c>
      <c r="G65" s="75">
        <f>SUM(G59:G64)</f>
        <v>0</v>
      </c>
      <c r="H65" s="75">
        <f>SUM(H59:H64)</f>
        <v>0</v>
      </c>
      <c r="I65" s="75">
        <f>SUM(I59:I64)</f>
        <v>150000</v>
      </c>
    </row>
    <row r="66" spans="1:9" ht="15" customHeight="1" thickBot="1" x14ac:dyDescent="0.25">
      <c r="A66" s="12" t="s">
        <v>98</v>
      </c>
      <c r="B66" s="98"/>
      <c r="C66" s="98"/>
      <c r="D66" s="11"/>
      <c r="E66" s="51">
        <f>E65+E57+E37</f>
        <v>0</v>
      </c>
      <c r="F66" s="51">
        <f>F65+F57+F37</f>
        <v>0</v>
      </c>
      <c r="G66" s="51">
        <f>G65+G57+G37</f>
        <v>0</v>
      </c>
      <c r="H66" s="51">
        <f>H65+H57+H37</f>
        <v>0</v>
      </c>
      <c r="I66" s="66">
        <f>I65+I57+I37</f>
        <v>8420000</v>
      </c>
    </row>
    <row r="67" spans="1:9" ht="9" customHeight="1" x14ac:dyDescent="0.2">
      <c r="A67" s="18"/>
      <c r="B67" s="18"/>
      <c r="C67" s="18"/>
      <c r="D67" s="19"/>
      <c r="E67" s="55"/>
      <c r="F67" s="55"/>
      <c r="G67" s="55"/>
      <c r="H67" s="55"/>
      <c r="I67" s="55"/>
    </row>
    <row r="68" spans="1:9" x14ac:dyDescent="0.2">
      <c r="A68" s="22" t="s">
        <v>224</v>
      </c>
      <c r="B68" s="22"/>
      <c r="C68" s="22"/>
      <c r="D68" s="22" t="s">
        <v>172</v>
      </c>
      <c r="E68" s="22"/>
      <c r="F68" s="15"/>
      <c r="G68" s="527" t="s">
        <v>16</v>
      </c>
      <c r="H68" s="527"/>
      <c r="I68" s="8"/>
    </row>
    <row r="69" spans="1:9" ht="12.75" hidden="1" customHeight="1" x14ac:dyDescent="0.2">
      <c r="A69" s="8"/>
      <c r="B69" s="8"/>
      <c r="C69" s="8"/>
      <c r="D69" s="15"/>
      <c r="E69" s="15"/>
      <c r="F69" s="15"/>
      <c r="G69" s="15"/>
      <c r="H69" s="15"/>
      <c r="I69" s="15"/>
    </row>
    <row r="70" spans="1:9" ht="12.75" customHeight="1" x14ac:dyDescent="0.2">
      <c r="A70" s="8"/>
      <c r="B70" s="8"/>
      <c r="C70" s="8"/>
      <c r="D70" s="15"/>
      <c r="E70" s="15"/>
      <c r="F70" s="15"/>
      <c r="G70" s="15"/>
      <c r="H70" s="15"/>
      <c r="I70" s="15"/>
    </row>
    <row r="71" spans="1:9" x14ac:dyDescent="0.2">
      <c r="A71" s="8"/>
      <c r="B71" s="8"/>
      <c r="C71" s="8"/>
      <c r="D71" s="15"/>
      <c r="E71" s="15"/>
      <c r="F71" s="15"/>
      <c r="G71" s="15"/>
      <c r="H71" s="15"/>
      <c r="I71" s="15"/>
    </row>
    <row r="72" spans="1:9" x14ac:dyDescent="0.2">
      <c r="A72" s="529" t="s">
        <v>326</v>
      </c>
      <c r="B72" s="529"/>
      <c r="C72" s="529"/>
      <c r="D72" s="528" t="s">
        <v>259</v>
      </c>
      <c r="E72" s="528"/>
      <c r="F72" s="528"/>
      <c r="G72" s="23"/>
      <c r="H72" s="529" t="s">
        <v>271</v>
      </c>
      <c r="I72" s="529"/>
    </row>
    <row r="73" spans="1:9" ht="12.75" customHeight="1" x14ac:dyDescent="0.2">
      <c r="A73" s="519" t="s">
        <v>272</v>
      </c>
      <c r="B73" s="519"/>
      <c r="C73" s="519"/>
      <c r="D73" s="518" t="s">
        <v>270</v>
      </c>
      <c r="E73" s="518"/>
      <c r="F73" s="518"/>
      <c r="G73" s="15"/>
      <c r="H73" s="519" t="s">
        <v>51</v>
      </c>
      <c r="I73" s="519"/>
    </row>
    <row r="74" spans="1:9" ht="10.5" customHeight="1" x14ac:dyDescent="0.2">
      <c r="A74" s="40"/>
      <c r="B74" s="40"/>
      <c r="C74" s="40"/>
      <c r="D74" s="41"/>
      <c r="E74" s="60"/>
      <c r="F74" s="60"/>
      <c r="G74" s="60"/>
      <c r="H74" s="60"/>
      <c r="I74" s="60"/>
    </row>
    <row r="75" spans="1:9" x14ac:dyDescent="0.2">
      <c r="A75" s="8"/>
      <c r="B75" s="8"/>
      <c r="C75" s="8"/>
      <c r="D75" s="31"/>
      <c r="E75" s="34"/>
      <c r="F75" s="34"/>
      <c r="G75" s="34"/>
      <c r="H75" s="34"/>
      <c r="I75" s="34"/>
    </row>
    <row r="76" spans="1:9" x14ac:dyDescent="0.2">
      <c r="A76" s="22"/>
      <c r="B76" s="22"/>
      <c r="C76" s="22"/>
      <c r="D76" s="31"/>
      <c r="E76" s="34"/>
      <c r="F76" s="34"/>
      <c r="G76" s="34"/>
      <c r="H76" s="34"/>
      <c r="I76" s="34"/>
    </row>
    <row r="77" spans="1:9" x14ac:dyDescent="0.2">
      <c r="A77" s="8"/>
      <c r="B77" s="8"/>
      <c r="C77" s="8"/>
      <c r="D77" s="31"/>
      <c r="E77" s="34"/>
      <c r="F77" s="34"/>
      <c r="G77" s="34"/>
      <c r="H77" s="34"/>
      <c r="I77" s="34"/>
    </row>
    <row r="78" spans="1:9" x14ac:dyDescent="0.2">
      <c r="A78" s="8"/>
      <c r="B78" s="8"/>
      <c r="C78" s="8"/>
      <c r="D78" s="31"/>
      <c r="E78" s="34"/>
      <c r="F78" s="34"/>
      <c r="G78" s="34"/>
      <c r="H78" s="34"/>
      <c r="I78" s="34"/>
    </row>
    <row r="79" spans="1:9" x14ac:dyDescent="0.2">
      <c r="A79" s="8"/>
      <c r="B79" s="8"/>
      <c r="C79" s="8"/>
      <c r="D79" s="31"/>
      <c r="E79" s="34"/>
      <c r="F79" s="34"/>
      <c r="G79" s="34"/>
      <c r="H79" s="34"/>
      <c r="I79" s="34"/>
    </row>
    <row r="80" spans="1:9" x14ac:dyDescent="0.2">
      <c r="A80" s="18"/>
      <c r="B80" s="18"/>
      <c r="C80" s="18"/>
      <c r="D80" s="31"/>
      <c r="E80" s="34"/>
      <c r="F80" s="34"/>
      <c r="G80" s="34"/>
      <c r="H80" s="34"/>
      <c r="I80" s="34"/>
    </row>
    <row r="81" spans="1:9" x14ac:dyDescent="0.2">
      <c r="A81" s="18"/>
      <c r="B81" s="18"/>
      <c r="C81" s="18"/>
      <c r="D81" s="27"/>
      <c r="E81" s="38"/>
      <c r="F81" s="38"/>
      <c r="G81" s="38"/>
      <c r="H81" s="38"/>
      <c r="I81" s="38"/>
    </row>
    <row r="82" spans="1:9" x14ac:dyDescent="0.2">
      <c r="A82" s="8"/>
      <c r="B82" s="8"/>
      <c r="C82" s="8"/>
      <c r="D82" s="31"/>
      <c r="E82" s="34"/>
      <c r="F82" s="34"/>
      <c r="G82" s="34"/>
      <c r="H82" s="34"/>
      <c r="I82" s="34"/>
    </row>
    <row r="83" spans="1:9" x14ac:dyDescent="0.2">
      <c r="A83" s="22"/>
      <c r="B83" s="22"/>
      <c r="C83" s="22"/>
      <c r="D83" s="27"/>
      <c r="E83" s="27"/>
      <c r="F83" s="27"/>
      <c r="G83" s="27"/>
      <c r="H83" s="27"/>
      <c r="I83" s="27"/>
    </row>
    <row r="84" spans="1:9" x14ac:dyDescent="0.2">
      <c r="A84" s="8"/>
      <c r="B84" s="8"/>
      <c r="C84" s="8"/>
      <c r="D84" s="27"/>
      <c r="E84" s="27"/>
      <c r="F84" s="27"/>
      <c r="G84" s="27"/>
      <c r="H84" s="27"/>
      <c r="I84" s="27"/>
    </row>
    <row r="85" spans="1:9" x14ac:dyDescent="0.2">
      <c r="A85" s="4"/>
      <c r="B85" s="4"/>
      <c r="C85" s="4"/>
      <c r="D85" s="19"/>
      <c r="E85" s="19"/>
      <c r="F85" s="19"/>
      <c r="G85" s="19"/>
      <c r="H85" s="19"/>
      <c r="I85" s="27"/>
    </row>
    <row r="86" spans="1:9" x14ac:dyDescent="0.2">
      <c r="A86" s="4"/>
      <c r="B86" s="4"/>
      <c r="C86" s="4"/>
      <c r="D86" s="19"/>
      <c r="E86" s="19"/>
      <c r="F86" s="19"/>
      <c r="G86" s="19"/>
      <c r="H86" s="19"/>
      <c r="I86" s="27"/>
    </row>
    <row r="87" spans="1:9" x14ac:dyDescent="0.2">
      <c r="A87" s="8"/>
      <c r="B87" s="8"/>
      <c r="C87" s="8"/>
      <c r="D87" s="27"/>
      <c r="E87" s="19"/>
      <c r="F87" s="19"/>
      <c r="G87" s="19"/>
      <c r="H87" s="27"/>
      <c r="I87" s="19"/>
    </row>
    <row r="88" spans="1:9" x14ac:dyDescent="0.2">
      <c r="A88" s="8"/>
      <c r="B88" s="8"/>
      <c r="C88" s="8"/>
      <c r="D88" s="35"/>
      <c r="E88" s="35"/>
      <c r="F88" s="35"/>
      <c r="G88" s="35"/>
      <c r="H88" s="35"/>
      <c r="I88" s="35"/>
    </row>
    <row r="89" spans="1:9" x14ac:dyDescent="0.2">
      <c r="A89" s="8"/>
      <c r="B89" s="8"/>
      <c r="C89" s="8"/>
      <c r="D89" s="35"/>
      <c r="E89" s="35"/>
      <c r="F89" s="35"/>
      <c r="G89" s="35"/>
      <c r="H89" s="35"/>
      <c r="I89" s="35"/>
    </row>
  </sheetData>
  <mergeCells count="12">
    <mergeCell ref="D72:F72"/>
    <mergeCell ref="H72:I72"/>
    <mergeCell ref="A73:C73"/>
    <mergeCell ref="D73:F73"/>
    <mergeCell ref="H73:I73"/>
    <mergeCell ref="A5:G5"/>
    <mergeCell ref="E8:G8"/>
    <mergeCell ref="A11:C13"/>
    <mergeCell ref="F11:H11"/>
    <mergeCell ref="H12:H13"/>
    <mergeCell ref="G68:H68"/>
    <mergeCell ref="A72:C72"/>
  </mergeCells>
  <pageMargins left="0.39370078740157483" right="0.11811023622047245" top="0.15748031496062992" bottom="0.19685039370078741" header="0.31496062992125984" footer="0.31496062992125984"/>
  <pageSetup paperSize="14" scale="92" orientation="portrait" horizontalDpi="0" verticalDpi="0" r:id="rId1"/>
  <rowBreaks count="1" manualBreakCount="1">
    <brk id="82" max="16383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/>
  </sheetPr>
  <dimension ref="A1:K140"/>
  <sheetViews>
    <sheetView showWhiteSpace="0" view="pageBreakPreview" topLeftCell="A16" zoomScale="118" zoomScaleNormal="100" zoomScaleSheetLayoutView="118" zoomScalePageLayoutView="130" workbookViewId="0">
      <selection activeCell="F10" sqref="F10"/>
    </sheetView>
  </sheetViews>
  <sheetFormatPr defaultColWidth="9.28515625" defaultRowHeight="12.75" x14ac:dyDescent="0.2"/>
  <cols>
    <col min="1" max="1" width="19.85546875" style="15" customWidth="1"/>
    <col min="2" max="2" width="2.7109375" style="15" customWidth="1"/>
    <col min="3" max="3" width="27.7109375" style="15" customWidth="1"/>
    <col min="4" max="4" width="14.85546875" style="28" customWidth="1"/>
    <col min="5" max="5" width="12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8" t="s">
        <v>344</v>
      </c>
      <c r="B1" s="471"/>
      <c r="C1" s="471"/>
      <c r="D1" s="471"/>
      <c r="E1" s="471"/>
      <c r="F1" s="471"/>
      <c r="G1" s="471"/>
    </row>
    <row r="2" spans="1:11" x14ac:dyDescent="0.2">
      <c r="A2" s="478" t="s">
        <v>345</v>
      </c>
      <c r="B2" s="479"/>
      <c r="C2" s="479"/>
      <c r="D2" s="479"/>
      <c r="E2" s="479"/>
      <c r="F2" s="479"/>
      <c r="G2" s="479"/>
    </row>
    <row r="3" spans="1:11" x14ac:dyDescent="0.2">
      <c r="A3" s="480" t="s">
        <v>346</v>
      </c>
      <c r="B3" s="479"/>
      <c r="C3" s="479"/>
      <c r="D3" s="479"/>
      <c r="E3" s="479"/>
      <c r="F3" s="479"/>
      <c r="G3" s="479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11" ht="15" x14ac:dyDescent="0.25">
      <c r="A6" s="481"/>
      <c r="B6" s="481"/>
      <c r="C6" s="481"/>
      <c r="D6" s="481"/>
      <c r="E6" s="481"/>
      <c r="F6" s="481"/>
      <c r="G6" s="481"/>
    </row>
    <row r="7" spans="1:11" ht="15" x14ac:dyDescent="0.2">
      <c r="A7" s="510" t="s">
        <v>348</v>
      </c>
      <c r="B7" s="499" t="s">
        <v>349</v>
      </c>
      <c r="C7" s="511"/>
      <c r="D7" s="510" t="s">
        <v>350</v>
      </c>
      <c r="E7" s="499">
        <v>2024</v>
      </c>
      <c r="F7" s="511"/>
      <c r="G7" s="511"/>
    </row>
    <row r="8" spans="1:11" ht="15.75" customHeight="1" x14ac:dyDescent="0.25">
      <c r="A8" s="512" t="s">
        <v>351</v>
      </c>
      <c r="B8" s="500" t="s">
        <v>352</v>
      </c>
      <c r="C8" s="477"/>
      <c r="D8" s="539" t="s">
        <v>92</v>
      </c>
      <c r="E8" s="539"/>
      <c r="F8" s="539"/>
      <c r="G8" s="539"/>
    </row>
    <row r="9" spans="1:11" ht="19.5" customHeight="1" x14ac:dyDescent="0.25">
      <c r="A9" s="512" t="s">
        <v>354</v>
      </c>
      <c r="B9" s="500" t="s">
        <v>355</v>
      </c>
      <c r="C9" s="477"/>
      <c r="D9" s="477"/>
      <c r="E9" s="477"/>
      <c r="F9" s="477"/>
      <c r="G9" s="477"/>
    </row>
    <row r="10" spans="1:11" ht="13.5" thickBot="1" x14ac:dyDescent="0.25"/>
    <row r="11" spans="1:11" ht="13.5" thickBot="1" x14ac:dyDescent="0.25">
      <c r="A11" s="520" t="s">
        <v>27</v>
      </c>
      <c r="B11" s="532"/>
      <c r="C11" s="532"/>
      <c r="D11" s="179" t="s">
        <v>15</v>
      </c>
      <c r="E11" s="131" t="s">
        <v>1</v>
      </c>
      <c r="F11" s="522" t="s">
        <v>329</v>
      </c>
      <c r="G11" s="523"/>
      <c r="H11" s="524"/>
      <c r="I11" s="132" t="s">
        <v>3</v>
      </c>
    </row>
    <row r="12" spans="1:11" x14ac:dyDescent="0.2">
      <c r="A12" s="521"/>
      <c r="B12" s="534"/>
      <c r="C12" s="534"/>
      <c r="D12" s="157" t="s">
        <v>0</v>
      </c>
      <c r="E12" s="130">
        <v>2022</v>
      </c>
      <c r="F12" s="156" t="s">
        <v>167</v>
      </c>
      <c r="G12" s="245" t="s">
        <v>168</v>
      </c>
      <c r="H12" s="525" t="s">
        <v>169</v>
      </c>
      <c r="I12" s="133">
        <v>2024</v>
      </c>
    </row>
    <row r="13" spans="1:11" x14ac:dyDescent="0.2">
      <c r="A13" s="521"/>
      <c r="B13" s="534"/>
      <c r="C13" s="534"/>
      <c r="D13" s="180"/>
      <c r="E13" s="130" t="s">
        <v>2</v>
      </c>
      <c r="F13" s="157" t="s">
        <v>2</v>
      </c>
      <c r="G13" s="130" t="s">
        <v>183</v>
      </c>
      <c r="H13" s="526"/>
      <c r="I13" s="133" t="s">
        <v>33</v>
      </c>
    </row>
    <row r="14" spans="1:11" s="61" customFormat="1" ht="13.5" thickBot="1" x14ac:dyDescent="0.25">
      <c r="A14" s="138" t="s">
        <v>28</v>
      </c>
      <c r="B14" s="139"/>
      <c r="C14" s="139"/>
      <c r="D14" s="158" t="s">
        <v>29</v>
      </c>
      <c r="E14" s="139" t="s">
        <v>30</v>
      </c>
      <c r="F14" s="158" t="s">
        <v>31</v>
      </c>
      <c r="G14" s="139" t="s">
        <v>32</v>
      </c>
      <c r="H14" s="158" t="s">
        <v>170</v>
      </c>
      <c r="I14" s="140" t="s">
        <v>171</v>
      </c>
      <c r="K14" s="457"/>
    </row>
    <row r="15" spans="1:11" x14ac:dyDescent="0.2">
      <c r="A15" s="163" t="s">
        <v>4</v>
      </c>
      <c r="B15" s="4"/>
      <c r="C15" s="4"/>
      <c r="D15" s="159"/>
      <c r="E15" s="27"/>
      <c r="F15" s="159"/>
      <c r="G15" s="27"/>
      <c r="H15" s="159"/>
      <c r="I15" s="141"/>
    </row>
    <row r="16" spans="1:11" x14ac:dyDescent="0.2">
      <c r="A16" s="163" t="s">
        <v>5</v>
      </c>
      <c r="B16" s="4"/>
      <c r="C16" s="4"/>
      <c r="D16" s="159"/>
      <c r="E16" s="27"/>
      <c r="F16" s="159"/>
      <c r="G16" s="27"/>
      <c r="H16" s="159"/>
      <c r="I16" s="142"/>
    </row>
    <row r="17" spans="1:11" x14ac:dyDescent="0.2">
      <c r="A17" s="136" t="s">
        <v>46</v>
      </c>
      <c r="B17" s="85"/>
      <c r="C17" s="85"/>
      <c r="D17" s="181" t="s">
        <v>100</v>
      </c>
      <c r="E17" s="166">
        <v>1734994.49</v>
      </c>
      <c r="F17" s="161">
        <v>956654</v>
      </c>
      <c r="G17" s="166">
        <f t="shared" ref="G17:G36" si="0">H17-F17</f>
        <v>958346</v>
      </c>
      <c r="H17" s="378">
        <v>1915000</v>
      </c>
      <c r="I17" s="143">
        <v>1919000</v>
      </c>
    </row>
    <row r="18" spans="1:11" x14ac:dyDescent="0.2">
      <c r="A18" s="136" t="s">
        <v>193</v>
      </c>
      <c r="B18" s="85"/>
      <c r="C18" s="85"/>
      <c r="D18" s="181" t="s">
        <v>101</v>
      </c>
      <c r="E18" s="166">
        <v>106000</v>
      </c>
      <c r="F18" s="161">
        <v>60000</v>
      </c>
      <c r="G18" s="166">
        <f t="shared" si="0"/>
        <v>60000</v>
      </c>
      <c r="H18" s="378">
        <v>120000</v>
      </c>
      <c r="I18" s="143">
        <v>120000</v>
      </c>
    </row>
    <row r="19" spans="1:11" x14ac:dyDescent="0.2">
      <c r="A19" s="136" t="s">
        <v>40</v>
      </c>
      <c r="B19" s="85"/>
      <c r="C19" s="85"/>
      <c r="D19" s="181" t="s">
        <v>120</v>
      </c>
      <c r="E19" s="166">
        <v>81000</v>
      </c>
      <c r="F19" s="161">
        <v>40500</v>
      </c>
      <c r="G19" s="166">
        <f t="shared" si="0"/>
        <v>40500</v>
      </c>
      <c r="H19" s="378">
        <v>81000</v>
      </c>
      <c r="I19" s="143">
        <v>81000</v>
      </c>
    </row>
    <row r="20" spans="1:11" x14ac:dyDescent="0.2">
      <c r="A20" s="136" t="s">
        <v>56</v>
      </c>
      <c r="B20" s="85"/>
      <c r="C20" s="85"/>
      <c r="D20" s="181" t="s">
        <v>121</v>
      </c>
      <c r="E20" s="166">
        <v>81000</v>
      </c>
      <c r="F20" s="161">
        <v>40500</v>
      </c>
      <c r="G20" s="166">
        <f t="shared" si="0"/>
        <v>40500</v>
      </c>
      <c r="H20" s="378">
        <v>81000</v>
      </c>
      <c r="I20" s="143">
        <v>81000</v>
      </c>
    </row>
    <row r="21" spans="1:11" x14ac:dyDescent="0.2">
      <c r="A21" s="136" t="s">
        <v>42</v>
      </c>
      <c r="B21" s="85"/>
      <c r="C21" s="85"/>
      <c r="D21" s="181" t="s">
        <v>102</v>
      </c>
      <c r="E21" s="166">
        <v>24000</v>
      </c>
      <c r="F21" s="161">
        <v>30000</v>
      </c>
      <c r="G21" s="166">
        <f t="shared" si="0"/>
        <v>0</v>
      </c>
      <c r="H21" s="378">
        <v>30000</v>
      </c>
      <c r="I21" s="143">
        <v>30000</v>
      </c>
    </row>
    <row r="22" spans="1:11" s="61" customFormat="1" x14ac:dyDescent="0.2">
      <c r="A22" s="137" t="s">
        <v>182</v>
      </c>
      <c r="B22" s="101"/>
      <c r="C22" s="101"/>
      <c r="D22" s="288" t="s">
        <v>158</v>
      </c>
      <c r="E22" s="246">
        <v>0</v>
      </c>
      <c r="F22" s="239">
        <v>0</v>
      </c>
      <c r="G22" s="166">
        <f t="shared" si="0"/>
        <v>0</v>
      </c>
      <c r="H22" s="377">
        <v>0</v>
      </c>
      <c r="I22" s="253">
        <v>0</v>
      </c>
      <c r="K22" s="457"/>
    </row>
    <row r="23" spans="1:11" x14ac:dyDescent="0.2">
      <c r="A23" s="136" t="s">
        <v>94</v>
      </c>
      <c r="B23" s="85"/>
      <c r="C23" s="85"/>
      <c r="D23" s="181" t="s">
        <v>104</v>
      </c>
      <c r="E23" s="166">
        <v>139369</v>
      </c>
      <c r="F23" s="161">
        <v>0</v>
      </c>
      <c r="G23" s="166">
        <f t="shared" si="0"/>
        <v>160000</v>
      </c>
      <c r="H23" s="378">
        <v>160000</v>
      </c>
      <c r="I23" s="143">
        <v>160000</v>
      </c>
    </row>
    <row r="24" spans="1:11" x14ac:dyDescent="0.2">
      <c r="A24" s="136" t="s">
        <v>150</v>
      </c>
      <c r="B24" s="85"/>
      <c r="C24" s="85"/>
      <c r="D24" s="181" t="s">
        <v>127</v>
      </c>
      <c r="E24" s="166">
        <v>139369</v>
      </c>
      <c r="F24" s="161">
        <v>159609</v>
      </c>
      <c r="G24" s="166">
        <f t="shared" si="0"/>
        <v>391</v>
      </c>
      <c r="H24" s="378">
        <v>160000</v>
      </c>
      <c r="I24" s="143">
        <v>160000</v>
      </c>
    </row>
    <row r="25" spans="1:11" x14ac:dyDescent="0.2">
      <c r="A25" s="136" t="s">
        <v>10</v>
      </c>
      <c r="B25" s="85"/>
      <c r="C25" s="85"/>
      <c r="D25" s="181" t="s">
        <v>103</v>
      </c>
      <c r="E25" s="166">
        <v>22000</v>
      </c>
      <c r="F25" s="161">
        <v>0</v>
      </c>
      <c r="G25" s="166">
        <f t="shared" si="0"/>
        <v>25000</v>
      </c>
      <c r="H25" s="378">
        <v>25000</v>
      </c>
      <c r="I25" s="143">
        <v>25000</v>
      </c>
    </row>
    <row r="26" spans="1:11" x14ac:dyDescent="0.2">
      <c r="A26" s="136" t="s">
        <v>160</v>
      </c>
      <c r="B26" s="85"/>
      <c r="C26" s="85"/>
      <c r="D26" s="181" t="s">
        <v>105</v>
      </c>
      <c r="E26" s="166">
        <v>209968.5</v>
      </c>
      <c r="F26" s="161">
        <v>114918.48</v>
      </c>
      <c r="G26" s="166">
        <f t="shared" si="0"/>
        <v>115081.52</v>
      </c>
      <c r="H26" s="378">
        <v>230000</v>
      </c>
      <c r="I26" s="143">
        <v>231000</v>
      </c>
    </row>
    <row r="27" spans="1:11" x14ac:dyDescent="0.2">
      <c r="A27" s="136" t="s">
        <v>57</v>
      </c>
      <c r="B27" s="85"/>
      <c r="C27" s="85"/>
      <c r="D27" s="181" t="s">
        <v>106</v>
      </c>
      <c r="E27" s="166">
        <v>34921.65</v>
      </c>
      <c r="F27" s="161">
        <v>19153.080000000002</v>
      </c>
      <c r="G27" s="166">
        <f t="shared" si="0"/>
        <v>19346.919999999998</v>
      </c>
      <c r="H27" s="378">
        <v>38500</v>
      </c>
      <c r="I27" s="143">
        <v>39000</v>
      </c>
    </row>
    <row r="28" spans="1:11" x14ac:dyDescent="0.2">
      <c r="A28" s="136" t="s">
        <v>58</v>
      </c>
      <c r="B28" s="85"/>
      <c r="C28" s="85"/>
      <c r="D28" s="181" t="s">
        <v>107</v>
      </c>
      <c r="E28" s="166">
        <v>32684.01</v>
      </c>
      <c r="F28" s="161">
        <v>19032.16</v>
      </c>
      <c r="G28" s="166">
        <f t="shared" si="0"/>
        <v>24467.84</v>
      </c>
      <c r="H28" s="378">
        <v>43500</v>
      </c>
      <c r="I28" s="143">
        <v>48000</v>
      </c>
    </row>
    <row r="29" spans="1:11" x14ac:dyDescent="0.2">
      <c r="A29" s="136" t="s">
        <v>188</v>
      </c>
      <c r="B29" s="85"/>
      <c r="C29" s="85"/>
      <c r="D29" s="181"/>
      <c r="E29" s="166"/>
      <c r="F29" s="161"/>
      <c r="G29" s="166"/>
      <c r="H29" s="378"/>
      <c r="I29" s="143"/>
    </row>
    <row r="30" spans="1:11" x14ac:dyDescent="0.2">
      <c r="A30" s="136" t="s">
        <v>217</v>
      </c>
      <c r="B30" s="85"/>
      <c r="C30" s="85"/>
      <c r="D30" s="181" t="s">
        <v>108</v>
      </c>
      <c r="E30" s="166">
        <v>5300</v>
      </c>
      <c r="F30" s="161">
        <v>3000</v>
      </c>
      <c r="G30" s="166">
        <f t="shared" si="0"/>
        <v>3000</v>
      </c>
      <c r="H30" s="378">
        <v>6000</v>
      </c>
      <c r="I30" s="143">
        <v>6000</v>
      </c>
    </row>
    <row r="31" spans="1:11" x14ac:dyDescent="0.2">
      <c r="A31" s="136" t="s">
        <v>45</v>
      </c>
      <c r="B31" s="85"/>
      <c r="C31" s="85"/>
      <c r="D31" s="181" t="s">
        <v>128</v>
      </c>
      <c r="E31" s="166">
        <v>83327.69</v>
      </c>
      <c r="F31" s="161">
        <v>28262.13</v>
      </c>
      <c r="G31" s="166">
        <f t="shared" si="0"/>
        <v>121737.87</v>
      </c>
      <c r="H31" s="378">
        <v>150000</v>
      </c>
      <c r="I31" s="143">
        <v>146000</v>
      </c>
    </row>
    <row r="32" spans="1:11" x14ac:dyDescent="0.2">
      <c r="A32" s="136" t="s">
        <v>60</v>
      </c>
      <c r="B32" s="85"/>
      <c r="C32" s="85"/>
      <c r="D32" s="181" t="s">
        <v>129</v>
      </c>
      <c r="E32" s="167">
        <v>25000</v>
      </c>
      <c r="F32" s="193">
        <v>0</v>
      </c>
      <c r="G32" s="166">
        <f t="shared" si="0"/>
        <v>25000</v>
      </c>
      <c r="H32" s="378">
        <v>25000</v>
      </c>
      <c r="I32" s="143">
        <v>25000</v>
      </c>
    </row>
    <row r="33" spans="1:11" x14ac:dyDescent="0.2">
      <c r="A33" s="137" t="s">
        <v>72</v>
      </c>
      <c r="B33" s="101"/>
      <c r="C33" s="101"/>
      <c r="D33" s="181" t="s">
        <v>130</v>
      </c>
      <c r="E33" s="167">
        <v>10000</v>
      </c>
      <c r="F33" s="193">
        <v>0</v>
      </c>
      <c r="G33" s="166">
        <f t="shared" si="0"/>
        <v>0</v>
      </c>
      <c r="H33" s="193">
        <v>0</v>
      </c>
      <c r="I33" s="193">
        <v>0</v>
      </c>
    </row>
    <row r="34" spans="1:11" x14ac:dyDescent="0.2">
      <c r="A34" s="137" t="s">
        <v>190</v>
      </c>
      <c r="B34" s="101"/>
      <c r="C34" s="101"/>
      <c r="D34" s="181" t="s">
        <v>131</v>
      </c>
      <c r="E34" s="167">
        <v>0</v>
      </c>
      <c r="F34" s="193">
        <v>0</v>
      </c>
      <c r="G34" s="166">
        <f t="shared" si="0"/>
        <v>0</v>
      </c>
      <c r="H34" s="193">
        <v>0</v>
      </c>
      <c r="I34" s="193">
        <v>0</v>
      </c>
    </row>
    <row r="35" spans="1:11" x14ac:dyDescent="0.2">
      <c r="A35" s="137" t="s">
        <v>260</v>
      </c>
      <c r="B35" s="101"/>
      <c r="C35" s="101"/>
      <c r="D35" s="184" t="s">
        <v>261</v>
      </c>
      <c r="E35" s="169">
        <v>125000</v>
      </c>
      <c r="F35" s="200">
        <v>0</v>
      </c>
      <c r="G35" s="166">
        <f t="shared" si="0"/>
        <v>0</v>
      </c>
      <c r="H35" s="200">
        <v>0</v>
      </c>
      <c r="I35" s="193">
        <v>0</v>
      </c>
    </row>
    <row r="36" spans="1:11" s="61" customFormat="1" ht="13.5" thickBot="1" x14ac:dyDescent="0.25">
      <c r="A36" s="164" t="s">
        <v>293</v>
      </c>
      <c r="B36" s="101"/>
      <c r="C36" s="101"/>
      <c r="D36" s="289" t="s">
        <v>292</v>
      </c>
      <c r="E36" s="248">
        <v>100000</v>
      </c>
      <c r="F36" s="241">
        <v>0</v>
      </c>
      <c r="G36" s="166">
        <f t="shared" si="0"/>
        <v>0</v>
      </c>
      <c r="H36" s="241">
        <v>0</v>
      </c>
      <c r="I36" s="193">
        <v>0</v>
      </c>
      <c r="K36" s="457"/>
    </row>
    <row r="37" spans="1:11" ht="11.25" customHeight="1" thickBot="1" x14ac:dyDescent="0.25">
      <c r="A37" s="12" t="s">
        <v>75</v>
      </c>
      <c r="B37" s="98"/>
      <c r="C37" s="98"/>
      <c r="D37" s="91"/>
      <c r="E37" s="68">
        <f>SUM(E17:E36)</f>
        <v>2953934.34</v>
      </c>
      <c r="F37" s="52">
        <f>SUM(F17:F36)</f>
        <v>1471628.8499999999</v>
      </c>
      <c r="G37" s="68">
        <f>SUM(G17:G36)</f>
        <v>1593371.15</v>
      </c>
      <c r="H37" s="379">
        <f>SUM(H17:H36)</f>
        <v>3065000</v>
      </c>
      <c r="I37" s="67">
        <f>SUM(I17:I36)</f>
        <v>3071000</v>
      </c>
    </row>
    <row r="38" spans="1:11" x14ac:dyDescent="0.2">
      <c r="A38" s="163" t="s">
        <v>20</v>
      </c>
      <c r="B38" s="4"/>
      <c r="C38" s="4"/>
      <c r="D38" s="183"/>
      <c r="E38" s="171"/>
      <c r="F38" s="162"/>
      <c r="G38" s="171"/>
      <c r="H38" s="380"/>
      <c r="I38" s="146"/>
    </row>
    <row r="39" spans="1:11" x14ac:dyDescent="0.2">
      <c r="A39" s="137" t="s">
        <v>8</v>
      </c>
      <c r="B39" s="85"/>
      <c r="C39" s="85"/>
      <c r="D39" s="181" t="s">
        <v>109</v>
      </c>
      <c r="E39" s="166">
        <v>172533.82</v>
      </c>
      <c r="F39" s="161">
        <v>67953.399999999994</v>
      </c>
      <c r="G39" s="166">
        <f t="shared" ref="G39:G49" si="1">H39-F39</f>
        <v>82046.600000000006</v>
      </c>
      <c r="H39" s="381">
        <v>150000</v>
      </c>
      <c r="I39" s="188">
        <v>150000</v>
      </c>
    </row>
    <row r="40" spans="1:11" x14ac:dyDescent="0.2">
      <c r="A40" s="137" t="s">
        <v>281</v>
      </c>
      <c r="B40" s="85"/>
      <c r="C40" s="85"/>
      <c r="D40" s="181" t="s">
        <v>110</v>
      </c>
      <c r="E40" s="166">
        <v>100500</v>
      </c>
      <c r="F40" s="161">
        <v>37500</v>
      </c>
      <c r="G40" s="166">
        <f t="shared" si="1"/>
        <v>92500</v>
      </c>
      <c r="H40" s="381">
        <v>130000</v>
      </c>
      <c r="I40" s="188">
        <v>130000</v>
      </c>
    </row>
    <row r="41" spans="1:11" x14ac:dyDescent="0.2">
      <c r="A41" s="137" t="s">
        <v>13</v>
      </c>
      <c r="B41" s="85"/>
      <c r="C41" s="85"/>
      <c r="D41" s="181" t="s">
        <v>111</v>
      </c>
      <c r="E41" s="166">
        <v>94897</v>
      </c>
      <c r="F41" s="161">
        <v>46242</v>
      </c>
      <c r="G41" s="166">
        <f t="shared" si="1"/>
        <v>83758</v>
      </c>
      <c r="H41" s="381">
        <v>130000</v>
      </c>
      <c r="I41" s="188">
        <v>130000</v>
      </c>
    </row>
    <row r="42" spans="1:11" x14ac:dyDescent="0.2">
      <c r="A42" s="136" t="s">
        <v>163</v>
      </c>
      <c r="B42" s="85"/>
      <c r="C42" s="85"/>
      <c r="D42" s="181" t="s">
        <v>122</v>
      </c>
      <c r="E42" s="166">
        <v>2250</v>
      </c>
      <c r="F42" s="161">
        <v>19730</v>
      </c>
      <c r="G42" s="166">
        <f t="shared" si="1"/>
        <v>20270</v>
      </c>
      <c r="H42" s="381">
        <v>40000</v>
      </c>
      <c r="I42" s="188">
        <v>50000</v>
      </c>
    </row>
    <row r="43" spans="1:11" x14ac:dyDescent="0.2">
      <c r="A43" s="136" t="s">
        <v>164</v>
      </c>
      <c r="B43" s="85"/>
      <c r="C43" s="85"/>
      <c r="D43" s="181" t="s">
        <v>112</v>
      </c>
      <c r="E43" s="166">
        <v>5185</v>
      </c>
      <c r="F43" s="161">
        <v>20000</v>
      </c>
      <c r="G43" s="166">
        <f t="shared" si="1"/>
        <v>10000</v>
      </c>
      <c r="H43" s="381">
        <f>10000+20000</f>
        <v>30000</v>
      </c>
      <c r="I43" s="188">
        <v>15000</v>
      </c>
    </row>
    <row r="44" spans="1:11" x14ac:dyDescent="0.2">
      <c r="A44" s="136" t="s">
        <v>165</v>
      </c>
      <c r="B44" s="85"/>
      <c r="C44" s="85"/>
      <c r="D44" s="181" t="s">
        <v>113</v>
      </c>
      <c r="E44" s="166">
        <v>0</v>
      </c>
      <c r="F44" s="161">
        <v>0</v>
      </c>
      <c r="G44" s="166">
        <f t="shared" si="1"/>
        <v>0</v>
      </c>
      <c r="H44" s="381">
        <v>0</v>
      </c>
      <c r="I44" s="188">
        <v>0</v>
      </c>
    </row>
    <row r="45" spans="1:11" x14ac:dyDescent="0.2">
      <c r="A45" s="136" t="s">
        <v>166</v>
      </c>
      <c r="B45" s="85"/>
      <c r="C45" s="85"/>
      <c r="D45" s="181" t="s">
        <v>114</v>
      </c>
      <c r="E45" s="167">
        <v>16896</v>
      </c>
      <c r="F45" s="193">
        <v>7040</v>
      </c>
      <c r="G45" s="166">
        <f t="shared" si="1"/>
        <v>40960</v>
      </c>
      <c r="H45" s="382">
        <v>48000</v>
      </c>
      <c r="I45" s="149">
        <v>48000</v>
      </c>
    </row>
    <row r="46" spans="1:11" x14ac:dyDescent="0.2">
      <c r="A46" s="136" t="s">
        <v>239</v>
      </c>
      <c r="B46" s="85"/>
      <c r="C46" s="85"/>
      <c r="D46" s="184" t="s">
        <v>124</v>
      </c>
      <c r="E46" s="166">
        <v>0</v>
      </c>
      <c r="F46" s="161">
        <v>0</v>
      </c>
      <c r="G46" s="166">
        <f t="shared" si="1"/>
        <v>15000</v>
      </c>
      <c r="H46" s="381">
        <v>15000</v>
      </c>
      <c r="I46" s="188">
        <v>15000</v>
      </c>
    </row>
    <row r="47" spans="1:11" x14ac:dyDescent="0.2">
      <c r="A47" s="136" t="s">
        <v>47</v>
      </c>
      <c r="B47" s="9"/>
      <c r="C47" s="85"/>
      <c r="D47" s="181" t="s">
        <v>143</v>
      </c>
      <c r="E47" s="167">
        <v>0</v>
      </c>
      <c r="F47" s="193">
        <v>56657.43</v>
      </c>
      <c r="G47" s="166">
        <f t="shared" si="1"/>
        <v>1943342.57</v>
      </c>
      <c r="H47" s="382">
        <v>2000000</v>
      </c>
      <c r="I47" s="149">
        <v>2000000</v>
      </c>
    </row>
    <row r="48" spans="1:11" x14ac:dyDescent="0.2">
      <c r="A48" s="136" t="s">
        <v>64</v>
      </c>
      <c r="B48" s="85"/>
      <c r="C48" s="85"/>
      <c r="D48" s="181" t="s">
        <v>137</v>
      </c>
      <c r="E48" s="167">
        <v>0</v>
      </c>
      <c r="F48" s="193">
        <v>0</v>
      </c>
      <c r="G48" s="166">
        <f t="shared" si="1"/>
        <v>15000</v>
      </c>
      <c r="H48" s="382">
        <v>15000</v>
      </c>
      <c r="I48" s="149">
        <v>15000</v>
      </c>
    </row>
    <row r="49" spans="1:9" ht="13.5" thickBot="1" x14ac:dyDescent="0.25">
      <c r="A49" s="136" t="s">
        <v>22</v>
      </c>
      <c r="B49" s="85"/>
      <c r="C49" s="85"/>
      <c r="D49" s="184" t="s">
        <v>116</v>
      </c>
      <c r="E49" s="174">
        <v>2289941.46</v>
      </c>
      <c r="F49" s="194">
        <v>5000</v>
      </c>
      <c r="G49" s="166">
        <f t="shared" si="1"/>
        <v>45000</v>
      </c>
      <c r="H49" s="391">
        <v>50000</v>
      </c>
      <c r="I49" s="150">
        <v>50000</v>
      </c>
    </row>
    <row r="50" spans="1:9" ht="12" customHeight="1" thickBot="1" x14ac:dyDescent="0.25">
      <c r="A50" s="12" t="s">
        <v>76</v>
      </c>
      <c r="B50" s="98"/>
      <c r="C50" s="98"/>
      <c r="D50" s="72"/>
      <c r="E50" s="68">
        <f>SUM(E39:E49)</f>
        <v>2682203.2799999998</v>
      </c>
      <c r="F50" s="52">
        <f>SUM(F39:F49)</f>
        <v>260122.83</v>
      </c>
      <c r="G50" s="68">
        <f>SUM(G39:G49)</f>
        <v>2347877.17</v>
      </c>
      <c r="H50" s="379">
        <f>SUM(H39:H49)</f>
        <v>2608000</v>
      </c>
      <c r="I50" s="67">
        <f>SUM(I39:I49)</f>
        <v>2603000</v>
      </c>
    </row>
    <row r="51" spans="1:9" ht="12.75" customHeight="1" x14ac:dyDescent="0.2">
      <c r="A51" s="163" t="s">
        <v>9</v>
      </c>
      <c r="B51" s="4"/>
      <c r="C51" s="4"/>
      <c r="D51" s="183"/>
      <c r="E51" s="175"/>
      <c r="F51" s="300"/>
      <c r="G51" s="175"/>
      <c r="H51" s="392"/>
      <c r="I51" s="151"/>
    </row>
    <row r="52" spans="1:9" ht="12.75" customHeight="1" x14ac:dyDescent="0.2">
      <c r="A52" s="137" t="s">
        <v>52</v>
      </c>
      <c r="B52" s="101"/>
      <c r="C52" s="101"/>
      <c r="D52" s="181" t="s">
        <v>117</v>
      </c>
      <c r="E52" s="175">
        <v>0</v>
      </c>
      <c r="F52" s="300">
        <v>0</v>
      </c>
      <c r="G52" s="175">
        <v>0</v>
      </c>
      <c r="H52" s="392">
        <v>0</v>
      </c>
      <c r="I52" s="151">
        <v>0</v>
      </c>
    </row>
    <row r="53" spans="1:9" x14ac:dyDescent="0.2">
      <c r="A53" s="136" t="s">
        <v>209</v>
      </c>
      <c r="B53" s="85"/>
      <c r="C53" s="85"/>
      <c r="D53" s="181"/>
      <c r="E53" s="166"/>
      <c r="F53" s="161"/>
      <c r="G53" s="166"/>
      <c r="H53" s="381"/>
      <c r="I53" s="188"/>
    </row>
    <row r="54" spans="1:9" x14ac:dyDescent="0.2">
      <c r="A54" s="136" t="s">
        <v>254</v>
      </c>
      <c r="B54" s="85"/>
      <c r="C54" s="85"/>
      <c r="D54" s="181" t="s">
        <v>125</v>
      </c>
      <c r="E54" s="166">
        <v>70000</v>
      </c>
      <c r="F54" s="161">
        <v>120000</v>
      </c>
      <c r="G54" s="166">
        <f>H54-F54</f>
        <v>80000</v>
      </c>
      <c r="H54" s="381">
        <v>200000</v>
      </c>
      <c r="I54" s="188">
        <v>0</v>
      </c>
    </row>
    <row r="55" spans="1:9" x14ac:dyDescent="0.2">
      <c r="A55" s="136" t="s">
        <v>79</v>
      </c>
      <c r="B55" s="85"/>
      <c r="C55" s="85"/>
      <c r="D55" s="181" t="s">
        <v>118</v>
      </c>
      <c r="E55" s="166">
        <v>175000</v>
      </c>
      <c r="F55" s="161">
        <v>0</v>
      </c>
      <c r="G55" s="166">
        <f>H55-F55</f>
        <v>0</v>
      </c>
      <c r="H55" s="381">
        <v>0</v>
      </c>
      <c r="I55" s="188">
        <v>0</v>
      </c>
    </row>
    <row r="56" spans="1:9" ht="13.5" thickBot="1" x14ac:dyDescent="0.25">
      <c r="A56" s="136" t="s">
        <v>253</v>
      </c>
      <c r="B56" s="85"/>
      <c r="C56" s="85"/>
      <c r="D56" s="184" t="s">
        <v>119</v>
      </c>
      <c r="E56" s="174">
        <v>0</v>
      </c>
      <c r="F56" s="194">
        <v>0</v>
      </c>
      <c r="G56" s="166">
        <f>H56-F56</f>
        <v>0</v>
      </c>
      <c r="H56" s="391">
        <v>0</v>
      </c>
      <c r="I56" s="150"/>
    </row>
    <row r="57" spans="1:9" ht="11.25" customHeight="1" thickBot="1" x14ac:dyDescent="0.25">
      <c r="A57" s="12" t="s">
        <v>77</v>
      </c>
      <c r="B57" s="98"/>
      <c r="C57" s="98"/>
      <c r="D57" s="80"/>
      <c r="E57" s="68">
        <f>SUM(E52:E56)</f>
        <v>245000</v>
      </c>
      <c r="F57" s="52">
        <f>SUM(F52:F56)</f>
        <v>120000</v>
      </c>
      <c r="G57" s="52">
        <f>SUM(G52:G56)</f>
        <v>80000</v>
      </c>
      <c r="H57" s="52">
        <f>SUM(H52:H56)</f>
        <v>200000</v>
      </c>
      <c r="I57" s="67">
        <f>SUM(I53:I56)</f>
        <v>0</v>
      </c>
    </row>
    <row r="58" spans="1:9" ht="12" customHeight="1" thickBot="1" x14ac:dyDescent="0.25">
      <c r="A58" s="12" t="s">
        <v>98</v>
      </c>
      <c r="B58" s="98"/>
      <c r="C58" s="98"/>
      <c r="D58" s="11"/>
      <c r="E58" s="119">
        <f>E37+E50+E57</f>
        <v>5881137.6199999992</v>
      </c>
      <c r="F58" s="52">
        <f>F37+F50+F57</f>
        <v>1851751.68</v>
      </c>
      <c r="G58" s="68">
        <f>G37+G50+G57</f>
        <v>4021248.32</v>
      </c>
      <c r="H58" s="379">
        <f>H37+H50+H57</f>
        <v>5873000</v>
      </c>
      <c r="I58" s="67">
        <f>I37+I50+I57</f>
        <v>5674000</v>
      </c>
    </row>
    <row r="59" spans="1:9" x14ac:dyDescent="0.2">
      <c r="A59" s="18"/>
      <c r="B59" s="18"/>
      <c r="C59" s="18"/>
      <c r="D59" s="19"/>
      <c r="E59" s="55"/>
      <c r="F59" s="55"/>
      <c r="G59" s="55"/>
      <c r="H59" s="55"/>
      <c r="I59" s="55"/>
    </row>
    <row r="60" spans="1:9" x14ac:dyDescent="0.2">
      <c r="A60" s="22" t="s">
        <v>225</v>
      </c>
      <c r="B60" s="22"/>
      <c r="C60" s="22"/>
      <c r="D60" s="22" t="s">
        <v>172</v>
      </c>
      <c r="E60" s="22"/>
      <c r="F60" s="15"/>
      <c r="G60" s="527" t="s">
        <v>16</v>
      </c>
      <c r="H60" s="527"/>
      <c r="I60" s="8"/>
    </row>
    <row r="61" spans="1:9" x14ac:dyDescent="0.2">
      <c r="A61" s="8"/>
      <c r="B61" s="8"/>
      <c r="C61" s="8"/>
      <c r="D61" s="15"/>
      <c r="E61" s="15"/>
      <c r="F61" s="15"/>
      <c r="G61" s="15"/>
      <c r="H61" s="15"/>
      <c r="I61" s="15"/>
    </row>
    <row r="62" spans="1:9" x14ac:dyDescent="0.2">
      <c r="A62" s="4"/>
      <c r="B62" s="4"/>
      <c r="C62" s="4"/>
      <c r="D62" s="23"/>
      <c r="E62" s="23"/>
      <c r="F62" s="23"/>
      <c r="G62" s="23"/>
      <c r="H62" s="4"/>
      <c r="I62" s="8"/>
    </row>
    <row r="63" spans="1:9" ht="12.75" customHeight="1" x14ac:dyDescent="0.2">
      <c r="A63" s="4" t="s">
        <v>252</v>
      </c>
      <c r="B63" s="4"/>
      <c r="C63" s="4"/>
      <c r="D63" s="528" t="s">
        <v>259</v>
      </c>
      <c r="E63" s="528"/>
      <c r="F63" s="528"/>
      <c r="G63" s="23"/>
      <c r="H63" s="529" t="s">
        <v>271</v>
      </c>
      <c r="I63" s="529"/>
    </row>
    <row r="64" spans="1:9" x14ac:dyDescent="0.2">
      <c r="A64" s="8" t="s">
        <v>218</v>
      </c>
      <c r="B64" s="8"/>
      <c r="C64" s="8"/>
      <c r="D64" s="518" t="s">
        <v>270</v>
      </c>
      <c r="E64" s="518"/>
      <c r="F64" s="518"/>
      <c r="G64" s="15"/>
      <c r="H64" s="519" t="s">
        <v>51</v>
      </c>
      <c r="I64" s="519"/>
    </row>
    <row r="65" spans="1:9" x14ac:dyDescent="0.2">
      <c r="A65" s="4"/>
      <c r="B65" s="4"/>
      <c r="C65" s="4"/>
      <c r="D65" s="113"/>
      <c r="E65" s="113"/>
      <c r="F65" s="113"/>
      <c r="G65" s="23"/>
      <c r="H65" s="4"/>
      <c r="I65" s="15"/>
    </row>
    <row r="66" spans="1:9" x14ac:dyDescent="0.2">
      <c r="A66" s="4"/>
      <c r="B66" s="4"/>
      <c r="C66" s="4"/>
      <c r="D66" s="23"/>
      <c r="E66" s="23"/>
      <c r="F66" s="23"/>
      <c r="G66" s="23"/>
      <c r="H66" s="4"/>
      <c r="I66" s="15"/>
    </row>
    <row r="67" spans="1:9" x14ac:dyDescent="0.2">
      <c r="A67" s="4"/>
      <c r="B67" s="4"/>
      <c r="C67" s="4"/>
      <c r="D67" s="23"/>
      <c r="E67" s="23"/>
      <c r="F67" s="23"/>
      <c r="G67" s="23"/>
      <c r="H67" s="4"/>
      <c r="I67" s="15"/>
    </row>
    <row r="68" spans="1:9" x14ac:dyDescent="0.2">
      <c r="A68" s="4"/>
      <c r="B68" s="4"/>
      <c r="C68" s="4"/>
      <c r="D68" s="26"/>
      <c r="E68" s="26"/>
      <c r="F68" s="26"/>
      <c r="G68" s="26"/>
      <c r="H68" s="19"/>
      <c r="I68" s="25"/>
    </row>
    <row r="69" spans="1:9" x14ac:dyDescent="0.2">
      <c r="A69" s="4"/>
      <c r="B69" s="4"/>
      <c r="C69" s="4"/>
      <c r="D69" s="26"/>
      <c r="E69" s="26"/>
      <c r="F69" s="26"/>
      <c r="G69" s="26"/>
      <c r="H69" s="19"/>
      <c r="I69" s="25"/>
    </row>
    <row r="70" spans="1:9" x14ac:dyDescent="0.2">
      <c r="A70" s="4"/>
      <c r="B70" s="4"/>
      <c r="C70" s="4"/>
      <c r="D70" s="26"/>
      <c r="E70" s="26"/>
      <c r="F70" s="26"/>
      <c r="G70" s="26"/>
      <c r="H70" s="19"/>
      <c r="I70" s="25"/>
    </row>
    <row r="71" spans="1:9" x14ac:dyDescent="0.2">
      <c r="A71" s="4"/>
      <c r="B71" s="4"/>
      <c r="C71" s="4"/>
      <c r="D71" s="26"/>
      <c r="E71" s="26"/>
      <c r="F71" s="26"/>
      <c r="G71" s="26"/>
      <c r="H71" s="19"/>
      <c r="I71" s="25"/>
    </row>
    <row r="72" spans="1:9" x14ac:dyDescent="0.2">
      <c r="A72" s="4"/>
      <c r="B72" s="4"/>
      <c r="C72" s="4"/>
      <c r="D72" s="26"/>
      <c r="E72" s="26"/>
      <c r="F72" s="26"/>
      <c r="G72" s="26"/>
      <c r="H72" s="19"/>
      <c r="I72" s="25"/>
    </row>
    <row r="73" spans="1:9" x14ac:dyDescent="0.2">
      <c r="A73" s="57"/>
      <c r="B73" s="94"/>
      <c r="C73" s="94"/>
      <c r="D73" s="25"/>
      <c r="E73" s="26"/>
      <c r="F73" s="26"/>
      <c r="G73" s="26"/>
      <c r="H73" s="27"/>
      <c r="I73" s="26"/>
    </row>
    <row r="75" spans="1:9" x14ac:dyDescent="0.2">
      <c r="A75" s="58"/>
      <c r="B75" s="95"/>
      <c r="C75" s="95"/>
      <c r="D75" s="36"/>
      <c r="E75" s="36"/>
      <c r="F75" s="36"/>
      <c r="G75" s="36"/>
      <c r="H75" s="36"/>
      <c r="I75" s="36"/>
    </row>
    <row r="76" spans="1:9" x14ac:dyDescent="0.2">
      <c r="A76" s="29"/>
      <c r="B76" s="29"/>
      <c r="C76" s="29"/>
      <c r="D76" s="43"/>
      <c r="E76" s="36"/>
      <c r="F76" s="36"/>
      <c r="G76" s="36"/>
      <c r="H76" s="36"/>
      <c r="I76" s="36"/>
    </row>
    <row r="77" spans="1:9" x14ac:dyDescent="0.2">
      <c r="A77" s="29"/>
      <c r="B77" s="29"/>
      <c r="C77" s="29"/>
      <c r="D77" s="43"/>
      <c r="E77" s="43"/>
      <c r="F77" s="43"/>
      <c r="G77" s="43"/>
      <c r="H77" s="43"/>
      <c r="I77" s="43"/>
    </row>
    <row r="78" spans="1:9" x14ac:dyDescent="0.2">
      <c r="A78" s="29"/>
      <c r="B78" s="29"/>
      <c r="C78" s="29"/>
      <c r="D78" s="43"/>
      <c r="E78" s="36"/>
      <c r="F78" s="36"/>
      <c r="G78" s="36"/>
      <c r="H78" s="36"/>
      <c r="I78" s="36"/>
    </row>
    <row r="79" spans="1:9" x14ac:dyDescent="0.2">
      <c r="A79" s="29"/>
      <c r="B79" s="29"/>
      <c r="C79" s="29"/>
      <c r="D79" s="43"/>
      <c r="E79" s="43"/>
      <c r="F79" s="43"/>
      <c r="G79" s="43"/>
      <c r="H79" s="43"/>
      <c r="I79" s="43"/>
    </row>
    <row r="80" spans="1:9" x14ac:dyDescent="0.2">
      <c r="A80" s="8"/>
      <c r="B80" s="8"/>
      <c r="C80" s="8"/>
      <c r="D80" s="27"/>
      <c r="E80" s="27"/>
      <c r="F80" s="27"/>
      <c r="G80" s="27"/>
      <c r="H80" s="27"/>
      <c r="I80" s="27"/>
    </row>
    <row r="81" spans="1:9" x14ac:dyDescent="0.2">
      <c r="A81" s="8"/>
      <c r="B81" s="8"/>
      <c r="C81" s="8"/>
      <c r="D81" s="27"/>
      <c r="E81" s="27"/>
      <c r="F81" s="27"/>
      <c r="G81" s="27"/>
      <c r="H81" s="27"/>
      <c r="I81" s="31"/>
    </row>
    <row r="82" spans="1:9" x14ac:dyDescent="0.2">
      <c r="A82" s="8"/>
      <c r="B82" s="8"/>
      <c r="C82" s="8"/>
      <c r="D82" s="31"/>
      <c r="E82" s="34"/>
      <c r="F82" s="34"/>
      <c r="G82" s="34"/>
      <c r="H82" s="34"/>
      <c r="I82" s="34"/>
    </row>
    <row r="83" spans="1:9" x14ac:dyDescent="0.2">
      <c r="A83" s="8"/>
      <c r="B83" s="8"/>
      <c r="C83" s="8"/>
      <c r="D83" s="31"/>
      <c r="E83" s="34"/>
      <c r="F83" s="34"/>
      <c r="G83" s="34"/>
      <c r="H83" s="34"/>
      <c r="I83" s="34"/>
    </row>
    <row r="84" spans="1:9" x14ac:dyDescent="0.2">
      <c r="A84" s="8"/>
      <c r="B84" s="8"/>
      <c r="C84" s="8"/>
      <c r="D84" s="31"/>
      <c r="E84" s="34"/>
      <c r="F84" s="34"/>
      <c r="G84" s="34"/>
      <c r="H84" s="34"/>
      <c r="I84" s="34"/>
    </row>
    <row r="85" spans="1:9" x14ac:dyDescent="0.2">
      <c r="A85" s="8"/>
      <c r="B85" s="8"/>
      <c r="C85" s="8"/>
      <c r="D85" s="31"/>
      <c r="E85" s="34"/>
      <c r="F85" s="34"/>
      <c r="G85" s="34"/>
      <c r="H85" s="34"/>
      <c r="I85" s="34"/>
    </row>
    <row r="86" spans="1:9" x14ac:dyDescent="0.2">
      <c r="A86" s="8"/>
      <c r="B86" s="8"/>
      <c r="C86" s="8"/>
      <c r="D86" s="31"/>
      <c r="E86" s="34"/>
      <c r="F86" s="34"/>
      <c r="G86" s="34"/>
      <c r="H86" s="34"/>
      <c r="I86" s="34"/>
    </row>
    <row r="87" spans="1:9" x14ac:dyDescent="0.2">
      <c r="A87" s="8"/>
      <c r="B87" s="8"/>
      <c r="C87" s="8"/>
      <c r="D87" s="31"/>
      <c r="E87" s="34"/>
      <c r="F87" s="34"/>
      <c r="G87" s="34"/>
      <c r="H87" s="34"/>
      <c r="I87" s="34"/>
    </row>
    <row r="88" spans="1:9" x14ac:dyDescent="0.2">
      <c r="A88" s="8"/>
      <c r="B88" s="8"/>
      <c r="C88" s="8"/>
      <c r="D88" s="31"/>
      <c r="E88" s="34"/>
      <c r="F88" s="34"/>
      <c r="G88" s="34"/>
      <c r="H88" s="34"/>
      <c r="I88" s="34"/>
    </row>
    <row r="89" spans="1:9" x14ac:dyDescent="0.2">
      <c r="A89" s="8"/>
      <c r="B89" s="8"/>
      <c r="C89" s="8"/>
      <c r="D89" s="31"/>
      <c r="E89" s="34"/>
      <c r="F89" s="34"/>
      <c r="G89" s="34"/>
      <c r="H89" s="34"/>
      <c r="I89" s="34"/>
    </row>
    <row r="90" spans="1:9" x14ac:dyDescent="0.2">
      <c r="A90" s="8"/>
      <c r="B90" s="8"/>
      <c r="C90" s="8"/>
      <c r="D90" s="31"/>
      <c r="E90" s="34"/>
      <c r="F90" s="34"/>
      <c r="G90" s="34"/>
      <c r="H90" s="34"/>
      <c r="I90" s="34"/>
    </row>
    <row r="91" spans="1:9" x14ac:dyDescent="0.2">
      <c r="A91" s="8"/>
      <c r="B91" s="8"/>
      <c r="C91" s="8"/>
      <c r="D91" s="31"/>
      <c r="E91" s="34"/>
      <c r="F91" s="34"/>
      <c r="G91" s="34"/>
      <c r="H91" s="34"/>
      <c r="I91" s="34"/>
    </row>
    <row r="92" spans="1:9" x14ac:dyDescent="0.2">
      <c r="A92" s="8"/>
      <c r="B92" s="8"/>
      <c r="C92" s="8"/>
      <c r="D92" s="31"/>
      <c r="E92" s="34"/>
      <c r="F92" s="34"/>
      <c r="G92" s="34"/>
      <c r="H92" s="34"/>
      <c r="I92" s="34"/>
    </row>
    <row r="93" spans="1:9" x14ac:dyDescent="0.2">
      <c r="A93" s="8"/>
      <c r="B93" s="8"/>
      <c r="C93" s="8"/>
      <c r="D93" s="31"/>
      <c r="E93" s="34"/>
      <c r="F93" s="34"/>
      <c r="G93" s="34"/>
      <c r="H93" s="34"/>
      <c r="I93" s="34"/>
    </row>
    <row r="94" spans="1:9" x14ac:dyDescent="0.2">
      <c r="A94" s="8"/>
      <c r="B94" s="8"/>
      <c r="C94" s="8"/>
      <c r="D94" s="31"/>
      <c r="E94" s="34"/>
      <c r="F94" s="34"/>
      <c r="G94" s="34"/>
      <c r="H94" s="34"/>
      <c r="I94" s="34"/>
    </row>
    <row r="95" spans="1:9" x14ac:dyDescent="0.2">
      <c r="A95" s="8"/>
      <c r="B95" s="8"/>
      <c r="C95" s="8"/>
      <c r="D95" s="31"/>
      <c r="E95" s="34"/>
      <c r="F95" s="34"/>
      <c r="G95" s="34"/>
      <c r="H95" s="34"/>
      <c r="I95" s="34"/>
    </row>
    <row r="96" spans="1:9" x14ac:dyDescent="0.2">
      <c r="A96" s="8"/>
      <c r="B96" s="8"/>
      <c r="C96" s="8"/>
      <c r="D96" s="31"/>
      <c r="E96" s="34"/>
      <c r="F96" s="34"/>
      <c r="G96" s="34"/>
      <c r="H96" s="34"/>
      <c r="I96" s="34"/>
    </row>
    <row r="97" spans="1:9" x14ac:dyDescent="0.2">
      <c r="A97" s="8"/>
      <c r="B97" s="8"/>
      <c r="C97" s="8"/>
      <c r="D97" s="31"/>
      <c r="E97" s="34"/>
      <c r="F97" s="34"/>
      <c r="G97" s="34"/>
      <c r="H97" s="34"/>
      <c r="I97" s="34"/>
    </row>
    <row r="98" spans="1:9" x14ac:dyDescent="0.2">
      <c r="A98" s="8"/>
      <c r="B98" s="8"/>
      <c r="C98" s="8"/>
      <c r="D98" s="31"/>
      <c r="E98" s="34"/>
      <c r="F98" s="34"/>
      <c r="G98" s="34"/>
      <c r="H98" s="34"/>
      <c r="I98" s="34"/>
    </row>
    <row r="99" spans="1:9" x14ac:dyDescent="0.2">
      <c r="A99" s="8"/>
      <c r="B99" s="8"/>
      <c r="C99" s="8"/>
      <c r="D99" s="31"/>
      <c r="E99" s="34"/>
      <c r="F99" s="34"/>
      <c r="G99" s="34"/>
      <c r="H99" s="34"/>
      <c r="I99" s="34"/>
    </row>
    <row r="100" spans="1:9" x14ac:dyDescent="0.2">
      <c r="A100" s="8"/>
      <c r="B100" s="8"/>
      <c r="C100" s="8"/>
      <c r="D100" s="31"/>
      <c r="E100" s="34"/>
      <c r="F100" s="34"/>
      <c r="G100" s="34"/>
      <c r="H100" s="34"/>
      <c r="I100" s="34"/>
    </row>
    <row r="101" spans="1:9" x14ac:dyDescent="0.2">
      <c r="A101" s="18"/>
      <c r="B101" s="18"/>
      <c r="C101" s="18"/>
      <c r="D101" s="31"/>
      <c r="E101" s="34"/>
      <c r="F101" s="34"/>
      <c r="G101" s="34"/>
      <c r="H101" s="34"/>
      <c r="I101" s="34"/>
    </row>
    <row r="102" spans="1:9" x14ac:dyDescent="0.2">
      <c r="A102" s="4"/>
      <c r="B102" s="4"/>
      <c r="C102" s="4"/>
      <c r="D102" s="31"/>
      <c r="E102" s="34"/>
      <c r="F102" s="34"/>
      <c r="G102" s="34"/>
      <c r="H102" s="34"/>
      <c r="I102" s="34"/>
    </row>
    <row r="103" spans="1:9" x14ac:dyDescent="0.2">
      <c r="A103" s="8"/>
      <c r="B103" s="8"/>
      <c r="C103" s="8"/>
      <c r="D103" s="31"/>
      <c r="E103" s="34"/>
      <c r="F103" s="34"/>
      <c r="G103" s="34"/>
      <c r="H103" s="34"/>
      <c r="I103" s="34"/>
    </row>
    <row r="104" spans="1:9" x14ac:dyDescent="0.2">
      <c r="A104" s="8"/>
      <c r="B104" s="8"/>
      <c r="C104" s="8"/>
      <c r="D104" s="31"/>
      <c r="E104" s="34"/>
      <c r="F104" s="34"/>
      <c r="G104" s="34"/>
      <c r="H104" s="34"/>
      <c r="I104" s="34"/>
    </row>
    <row r="105" spans="1:9" x14ac:dyDescent="0.2">
      <c r="A105" s="8"/>
      <c r="B105" s="8"/>
      <c r="C105" s="8"/>
      <c r="D105" s="31"/>
      <c r="E105" s="34"/>
      <c r="F105" s="34"/>
      <c r="G105" s="34"/>
      <c r="H105" s="34"/>
      <c r="I105" s="34"/>
    </row>
    <row r="106" spans="1:9" x14ac:dyDescent="0.2">
      <c r="A106" s="8"/>
      <c r="B106" s="8"/>
      <c r="C106" s="8"/>
      <c r="D106" s="31"/>
      <c r="E106" s="34"/>
      <c r="F106" s="34"/>
      <c r="G106" s="34"/>
      <c r="H106" s="34"/>
      <c r="I106" s="34"/>
    </row>
    <row r="107" spans="1:9" x14ac:dyDescent="0.2">
      <c r="A107" s="8"/>
      <c r="B107" s="8"/>
      <c r="C107" s="8"/>
      <c r="D107" s="31"/>
      <c r="E107" s="34"/>
      <c r="F107" s="34"/>
      <c r="G107" s="34"/>
      <c r="H107" s="34"/>
      <c r="I107" s="34"/>
    </row>
    <row r="108" spans="1:9" x14ac:dyDescent="0.2">
      <c r="A108" s="8"/>
      <c r="B108" s="8"/>
      <c r="C108" s="8"/>
      <c r="D108" s="31"/>
      <c r="E108" s="34"/>
      <c r="F108" s="34"/>
      <c r="G108" s="34"/>
      <c r="H108" s="34"/>
      <c r="I108" s="34"/>
    </row>
    <row r="109" spans="1:9" x14ac:dyDescent="0.2">
      <c r="A109" s="8"/>
      <c r="B109" s="8"/>
      <c r="C109" s="8"/>
      <c r="D109" s="31"/>
      <c r="E109" s="34"/>
      <c r="F109" s="34"/>
      <c r="G109" s="34"/>
      <c r="H109" s="34"/>
      <c r="I109" s="34"/>
    </row>
    <row r="110" spans="1:9" x14ac:dyDescent="0.2">
      <c r="A110" s="8"/>
      <c r="B110" s="8"/>
      <c r="C110" s="8"/>
      <c r="D110" s="31"/>
      <c r="E110" s="34"/>
      <c r="F110" s="34"/>
      <c r="G110" s="34"/>
      <c r="H110" s="34"/>
      <c r="I110" s="34"/>
    </row>
    <row r="111" spans="1:9" x14ac:dyDescent="0.2">
      <c r="A111" s="8"/>
      <c r="B111" s="8"/>
      <c r="C111" s="8"/>
      <c r="D111" s="31"/>
      <c r="E111" s="34"/>
      <c r="F111" s="34"/>
      <c r="G111" s="34"/>
      <c r="H111" s="34"/>
      <c r="I111" s="34"/>
    </row>
    <row r="112" spans="1:9" x14ac:dyDescent="0.2">
      <c r="A112" s="8"/>
      <c r="B112" s="8"/>
      <c r="C112" s="8"/>
      <c r="D112" s="31"/>
      <c r="E112" s="34"/>
      <c r="F112" s="34"/>
      <c r="G112" s="34"/>
      <c r="H112" s="34"/>
      <c r="I112" s="34"/>
    </row>
    <row r="113" spans="1:9" x14ac:dyDescent="0.2">
      <c r="A113" s="8"/>
      <c r="B113" s="8"/>
      <c r="C113" s="8"/>
      <c r="D113" s="31"/>
      <c r="E113" s="34"/>
      <c r="F113" s="34"/>
      <c r="G113" s="34"/>
      <c r="H113" s="34"/>
      <c r="I113" s="34"/>
    </row>
    <row r="114" spans="1:9" x14ac:dyDescent="0.2">
      <c r="A114" s="8"/>
      <c r="B114" s="8"/>
      <c r="C114" s="8"/>
      <c r="D114" s="31"/>
      <c r="E114" s="34"/>
      <c r="F114" s="34"/>
      <c r="G114" s="34"/>
      <c r="H114" s="34"/>
      <c r="I114" s="34"/>
    </row>
    <row r="115" spans="1:9" x14ac:dyDescent="0.2">
      <c r="A115" s="8"/>
      <c r="B115" s="8"/>
      <c r="C115" s="8"/>
      <c r="D115" s="31"/>
      <c r="E115" s="34"/>
      <c r="F115" s="34"/>
      <c r="G115" s="34"/>
      <c r="H115" s="34"/>
      <c r="I115" s="34"/>
    </row>
    <row r="116" spans="1:9" x14ac:dyDescent="0.2">
      <c r="A116" s="8"/>
      <c r="B116" s="8"/>
      <c r="C116" s="8"/>
      <c r="D116" s="31"/>
      <c r="E116" s="34"/>
      <c r="F116" s="34"/>
      <c r="G116" s="34"/>
      <c r="H116" s="34"/>
      <c r="I116" s="34"/>
    </row>
    <row r="117" spans="1:9" x14ac:dyDescent="0.2">
      <c r="A117" s="8"/>
      <c r="B117" s="8"/>
      <c r="C117" s="8"/>
      <c r="D117" s="35"/>
      <c r="E117" s="35"/>
      <c r="F117" s="35"/>
      <c r="G117" s="35"/>
      <c r="H117" s="35"/>
      <c r="I117" s="35"/>
    </row>
    <row r="118" spans="1:9" x14ac:dyDescent="0.2">
      <c r="A118" s="8"/>
      <c r="B118" s="8"/>
      <c r="C118" s="8"/>
      <c r="D118" s="35"/>
      <c r="E118" s="35"/>
      <c r="F118" s="35"/>
      <c r="G118" s="35"/>
      <c r="H118" s="35"/>
      <c r="I118" s="35"/>
    </row>
    <row r="119" spans="1:9" ht="16.5" x14ac:dyDescent="0.2">
      <c r="A119" s="2"/>
      <c r="B119" s="2"/>
      <c r="C119" s="2"/>
      <c r="D119" s="44"/>
      <c r="E119" s="45"/>
      <c r="F119" s="45"/>
      <c r="G119" s="45"/>
      <c r="H119" s="35"/>
      <c r="I119" s="35"/>
    </row>
    <row r="120" spans="1:9" x14ac:dyDescent="0.2">
      <c r="A120" s="4"/>
      <c r="B120" s="4"/>
      <c r="C120" s="4"/>
      <c r="D120" s="36"/>
      <c r="E120" s="36"/>
      <c r="F120" s="36"/>
      <c r="G120" s="36"/>
      <c r="H120" s="36"/>
      <c r="I120" s="36"/>
    </row>
    <row r="121" spans="1:9" x14ac:dyDescent="0.2">
      <c r="A121" s="58"/>
      <c r="B121" s="95"/>
      <c r="C121" s="95"/>
      <c r="D121" s="36"/>
      <c r="E121" s="36"/>
      <c r="F121" s="36"/>
      <c r="G121" s="36"/>
      <c r="H121" s="36"/>
      <c r="I121" s="36"/>
    </row>
    <row r="122" spans="1:9" x14ac:dyDescent="0.2">
      <c r="A122" s="29"/>
      <c r="B122" s="29"/>
      <c r="C122" s="29"/>
      <c r="D122" s="43"/>
      <c r="E122" s="36"/>
      <c r="F122" s="36"/>
      <c r="G122" s="36"/>
      <c r="H122" s="36"/>
      <c r="I122" s="36"/>
    </row>
    <row r="123" spans="1:9" x14ac:dyDescent="0.2">
      <c r="A123" s="29"/>
      <c r="B123" s="29"/>
      <c r="C123" s="29"/>
      <c r="D123" s="43"/>
      <c r="E123" s="43"/>
      <c r="F123" s="43"/>
      <c r="G123" s="43"/>
      <c r="H123" s="43"/>
      <c r="I123" s="43"/>
    </row>
    <row r="124" spans="1:9" x14ac:dyDescent="0.2">
      <c r="A124" s="4"/>
      <c r="B124" s="4"/>
      <c r="C124" s="4"/>
      <c r="D124" s="31"/>
      <c r="E124" s="34"/>
      <c r="F124" s="34"/>
      <c r="G124" s="34"/>
      <c r="H124" s="34"/>
      <c r="I124" s="34"/>
    </row>
    <row r="125" spans="1:9" x14ac:dyDescent="0.2">
      <c r="A125" s="8"/>
      <c r="B125" s="8"/>
      <c r="C125" s="8"/>
      <c r="D125" s="31"/>
      <c r="E125" s="34"/>
      <c r="F125" s="34"/>
      <c r="G125" s="34"/>
      <c r="H125" s="34"/>
      <c r="I125" s="34"/>
    </row>
    <row r="126" spans="1:9" x14ac:dyDescent="0.2">
      <c r="A126" s="8"/>
      <c r="B126" s="8"/>
      <c r="C126" s="8"/>
      <c r="D126" s="31"/>
      <c r="E126" s="34"/>
      <c r="F126" s="34"/>
      <c r="G126" s="34"/>
      <c r="H126" s="34"/>
      <c r="I126" s="34"/>
    </row>
    <row r="127" spans="1:9" x14ac:dyDescent="0.2">
      <c r="A127" s="22"/>
      <c r="B127" s="22"/>
      <c r="C127" s="22"/>
      <c r="D127" s="31"/>
      <c r="E127" s="34"/>
      <c r="F127" s="34"/>
      <c r="G127" s="34"/>
      <c r="H127" s="34"/>
      <c r="I127" s="34"/>
    </row>
    <row r="128" spans="1:9" x14ac:dyDescent="0.2">
      <c r="A128" s="8"/>
      <c r="B128" s="8"/>
      <c r="C128" s="8"/>
      <c r="D128" s="31"/>
      <c r="E128" s="34"/>
      <c r="F128" s="34"/>
      <c r="G128" s="34"/>
      <c r="H128" s="34"/>
      <c r="I128" s="34"/>
    </row>
    <row r="129" spans="1:9" x14ac:dyDescent="0.2">
      <c r="A129" s="8"/>
      <c r="B129" s="8"/>
      <c r="C129" s="8"/>
      <c r="D129" s="31"/>
      <c r="E129" s="34"/>
      <c r="F129" s="34"/>
      <c r="G129" s="34"/>
      <c r="H129" s="34"/>
      <c r="I129" s="34"/>
    </row>
    <row r="130" spans="1:9" x14ac:dyDescent="0.2">
      <c r="A130" s="8"/>
      <c r="B130" s="8"/>
      <c r="C130" s="8"/>
      <c r="D130" s="31"/>
      <c r="E130" s="34"/>
      <c r="F130" s="34"/>
      <c r="G130" s="34"/>
      <c r="H130" s="34"/>
      <c r="I130" s="34"/>
    </row>
    <row r="131" spans="1:9" x14ac:dyDescent="0.2">
      <c r="A131" s="18"/>
      <c r="B131" s="18"/>
      <c r="C131" s="18"/>
      <c r="D131" s="31"/>
      <c r="E131" s="34"/>
      <c r="F131" s="34"/>
      <c r="G131" s="34"/>
      <c r="H131" s="34"/>
      <c r="I131" s="34"/>
    </row>
    <row r="132" spans="1:9" x14ac:dyDescent="0.2">
      <c r="A132" s="18"/>
      <c r="B132" s="18"/>
      <c r="C132" s="18"/>
      <c r="D132" s="27"/>
      <c r="E132" s="38"/>
      <c r="F132" s="38"/>
      <c r="G132" s="38"/>
      <c r="H132" s="38"/>
      <c r="I132" s="38"/>
    </row>
    <row r="133" spans="1:9" x14ac:dyDescent="0.2">
      <c r="A133" s="8"/>
      <c r="B133" s="8"/>
      <c r="C133" s="8"/>
      <c r="D133" s="31"/>
      <c r="E133" s="34"/>
      <c r="F133" s="34"/>
      <c r="G133" s="34"/>
      <c r="H133" s="34"/>
      <c r="I133" s="34"/>
    </row>
    <row r="134" spans="1:9" x14ac:dyDescent="0.2">
      <c r="A134" s="22"/>
      <c r="B134" s="22"/>
      <c r="C134" s="22"/>
      <c r="D134" s="27"/>
      <c r="E134" s="27"/>
      <c r="F134" s="27"/>
      <c r="G134" s="27"/>
      <c r="H134" s="27"/>
      <c r="I134" s="27"/>
    </row>
    <row r="135" spans="1:9" x14ac:dyDescent="0.2">
      <c r="A135" s="8"/>
      <c r="B135" s="8"/>
      <c r="C135" s="8"/>
      <c r="D135" s="27"/>
      <c r="E135" s="27"/>
      <c r="F135" s="27"/>
      <c r="G135" s="27"/>
      <c r="H135" s="27"/>
      <c r="I135" s="27"/>
    </row>
    <row r="136" spans="1:9" x14ac:dyDescent="0.2">
      <c r="A136" s="4"/>
      <c r="B136" s="4"/>
      <c r="C136" s="4"/>
      <c r="D136" s="19"/>
      <c r="E136" s="19"/>
      <c r="F136" s="19"/>
      <c r="G136" s="19"/>
      <c r="H136" s="19"/>
      <c r="I136" s="27"/>
    </row>
    <row r="137" spans="1:9" x14ac:dyDescent="0.2">
      <c r="A137" s="4"/>
      <c r="B137" s="4"/>
      <c r="C137" s="4"/>
      <c r="D137" s="19"/>
      <c r="E137" s="19"/>
      <c r="F137" s="19"/>
      <c r="G137" s="19"/>
      <c r="H137" s="19"/>
      <c r="I137" s="27"/>
    </row>
    <row r="138" spans="1:9" x14ac:dyDescent="0.2">
      <c r="A138" s="8"/>
      <c r="B138" s="8"/>
      <c r="C138" s="8"/>
      <c r="D138" s="27"/>
      <c r="E138" s="19"/>
      <c r="F138" s="19"/>
      <c r="G138" s="19"/>
      <c r="H138" s="27"/>
      <c r="I138" s="19"/>
    </row>
    <row r="139" spans="1:9" x14ac:dyDescent="0.2">
      <c r="A139" s="8"/>
      <c r="B139" s="8"/>
      <c r="C139" s="8"/>
      <c r="D139" s="35"/>
      <c r="E139" s="35"/>
      <c r="F139" s="35"/>
      <c r="G139" s="35"/>
      <c r="H139" s="35"/>
      <c r="I139" s="35"/>
    </row>
    <row r="140" spans="1:9" x14ac:dyDescent="0.2">
      <c r="A140" s="8"/>
      <c r="B140" s="8"/>
      <c r="C140" s="8"/>
      <c r="D140" s="35"/>
      <c r="E140" s="35"/>
      <c r="F140" s="35"/>
      <c r="G140" s="35"/>
      <c r="H140" s="35"/>
      <c r="I140" s="35"/>
    </row>
  </sheetData>
  <mergeCells count="10">
    <mergeCell ref="A5:G5"/>
    <mergeCell ref="D8:G8"/>
    <mergeCell ref="H12:H13"/>
    <mergeCell ref="F11:H11"/>
    <mergeCell ref="D64:F64"/>
    <mergeCell ref="A11:C13"/>
    <mergeCell ref="H64:I64"/>
    <mergeCell ref="G60:H60"/>
    <mergeCell ref="D63:F63"/>
    <mergeCell ref="H63:I63"/>
  </mergeCells>
  <pageMargins left="0.19685039370078741" right="0.11811023622047245" top="0.15748031496062992" bottom="0.27559055118110237" header="0" footer="0"/>
  <pageSetup paperSize="256" scale="95" orientation="portrait" horizontalDpi="4294967294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G42425"/>
  <sheetViews>
    <sheetView view="pageBreakPreview" topLeftCell="A10" zoomScale="115" zoomScaleNormal="100" zoomScaleSheetLayoutView="115" workbookViewId="0">
      <selection activeCell="D10" sqref="D10"/>
    </sheetView>
  </sheetViews>
  <sheetFormatPr defaultColWidth="9.28515625" defaultRowHeight="12.75" x14ac:dyDescent="0.2"/>
  <cols>
    <col min="1" max="1" width="36.7109375" style="15" customWidth="1"/>
    <col min="2" max="2" width="9.85546875" style="28" customWidth="1"/>
    <col min="3" max="3" width="16.85546875" style="28" customWidth="1"/>
    <col min="4" max="4" width="16" style="28" customWidth="1"/>
    <col min="5" max="5" width="11.28515625" style="28" customWidth="1"/>
    <col min="6" max="7" width="11.5703125" style="28" customWidth="1"/>
    <col min="8" max="16384" width="9.28515625" style="3"/>
  </cols>
  <sheetData>
    <row r="1" spans="1:7" x14ac:dyDescent="0.2">
      <c r="A1" s="478" t="s">
        <v>344</v>
      </c>
      <c r="B1" s="471"/>
      <c r="C1" s="471"/>
      <c r="D1" s="471"/>
      <c r="E1" s="471"/>
      <c r="F1" s="471"/>
      <c r="G1" s="471"/>
    </row>
    <row r="2" spans="1:7" x14ac:dyDescent="0.2">
      <c r="A2" s="478" t="s">
        <v>345</v>
      </c>
      <c r="B2" s="479"/>
      <c r="C2" s="479"/>
      <c r="D2" s="479"/>
      <c r="E2" s="479"/>
      <c r="F2" s="479"/>
      <c r="G2" s="479"/>
    </row>
    <row r="3" spans="1:7" x14ac:dyDescent="0.2">
      <c r="A3" s="480" t="s">
        <v>346</v>
      </c>
      <c r="B3" s="479"/>
      <c r="C3" s="479"/>
      <c r="D3" s="479"/>
      <c r="E3" s="479"/>
      <c r="F3" s="479"/>
      <c r="G3" s="479"/>
    </row>
    <row r="4" spans="1:7" x14ac:dyDescent="0.2">
      <c r="A4" s="474"/>
      <c r="B4" s="474"/>
      <c r="C4" s="474"/>
      <c r="D4" s="474"/>
      <c r="E4" s="474"/>
      <c r="F4" s="474"/>
      <c r="G4" s="474"/>
    </row>
    <row r="5" spans="1:7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7" ht="15" x14ac:dyDescent="0.25">
      <c r="A6" s="481"/>
      <c r="B6" s="481"/>
      <c r="C6" s="481"/>
      <c r="D6" s="481"/>
      <c r="E6" s="481"/>
      <c r="F6" s="481"/>
      <c r="G6" s="481"/>
    </row>
    <row r="7" spans="1:7" x14ac:dyDescent="0.2">
      <c r="A7" s="483" t="s">
        <v>348</v>
      </c>
      <c r="B7" s="494" t="s">
        <v>349</v>
      </c>
      <c r="C7" s="495"/>
      <c r="D7" s="490" t="s">
        <v>350</v>
      </c>
      <c r="E7" s="494">
        <v>2024</v>
      </c>
      <c r="F7" s="495"/>
      <c r="G7" s="485"/>
    </row>
    <row r="8" spans="1:7" ht="36" customHeight="1" x14ac:dyDescent="0.2">
      <c r="A8" s="486" t="s">
        <v>351</v>
      </c>
      <c r="B8" s="496" t="s">
        <v>352</v>
      </c>
      <c r="C8" s="497"/>
      <c r="D8" s="541" t="s">
        <v>366</v>
      </c>
      <c r="E8" s="541"/>
      <c r="F8" s="541"/>
      <c r="G8" s="488"/>
    </row>
    <row r="9" spans="1:7" x14ac:dyDescent="0.2">
      <c r="A9" s="486" t="s">
        <v>354</v>
      </c>
      <c r="B9" s="496" t="s">
        <v>355</v>
      </c>
      <c r="C9" s="497"/>
      <c r="D9" s="497"/>
      <c r="E9" s="497"/>
      <c r="F9" s="497"/>
      <c r="G9" s="488"/>
    </row>
    <row r="10" spans="1:7" ht="13.5" thickBot="1" x14ac:dyDescent="0.25"/>
    <row r="11" spans="1:7" ht="13.5" thickBot="1" x14ac:dyDescent="0.25">
      <c r="A11" s="520" t="s">
        <v>27</v>
      </c>
      <c r="B11" s="179" t="s">
        <v>15</v>
      </c>
      <c r="C11" s="131" t="s">
        <v>1</v>
      </c>
      <c r="D11" s="520" t="s">
        <v>329</v>
      </c>
      <c r="E11" s="532"/>
      <c r="F11" s="533"/>
      <c r="G11" s="132" t="s">
        <v>3</v>
      </c>
    </row>
    <row r="12" spans="1:7" x14ac:dyDescent="0.2">
      <c r="A12" s="521"/>
      <c r="B12" s="157" t="s">
        <v>0</v>
      </c>
      <c r="C12" s="130">
        <v>2022</v>
      </c>
      <c r="D12" s="156" t="s">
        <v>167</v>
      </c>
      <c r="E12" s="156" t="s">
        <v>168</v>
      </c>
      <c r="F12" s="525" t="s">
        <v>169</v>
      </c>
      <c r="G12" s="133">
        <v>2024</v>
      </c>
    </row>
    <row r="13" spans="1:7" x14ac:dyDescent="0.2">
      <c r="A13" s="521"/>
      <c r="B13" s="180"/>
      <c r="C13" s="130" t="s">
        <v>2</v>
      </c>
      <c r="D13" s="157" t="s">
        <v>2</v>
      </c>
      <c r="E13" s="157" t="s">
        <v>183</v>
      </c>
      <c r="F13" s="526"/>
      <c r="G13" s="133" t="s">
        <v>33</v>
      </c>
    </row>
    <row r="14" spans="1:7" x14ac:dyDescent="0.2">
      <c r="A14" s="134" t="s">
        <v>28</v>
      </c>
      <c r="B14" s="190" t="s">
        <v>29</v>
      </c>
      <c r="C14" s="37" t="s">
        <v>30</v>
      </c>
      <c r="D14" s="190" t="s">
        <v>31</v>
      </c>
      <c r="E14" s="190" t="s">
        <v>32</v>
      </c>
      <c r="F14" s="190" t="s">
        <v>170</v>
      </c>
      <c r="G14" s="135" t="s">
        <v>171</v>
      </c>
    </row>
    <row r="15" spans="1:7" x14ac:dyDescent="0.2">
      <c r="A15" s="163" t="s">
        <v>4</v>
      </c>
      <c r="B15" s="191"/>
      <c r="C15" s="17"/>
      <c r="D15" s="191"/>
      <c r="E15" s="191"/>
      <c r="F15" s="191"/>
      <c r="G15" s="187"/>
    </row>
    <row r="16" spans="1:7" x14ac:dyDescent="0.2">
      <c r="A16" s="163" t="s">
        <v>5</v>
      </c>
      <c r="B16" s="160"/>
      <c r="C16" s="39"/>
      <c r="D16" s="160"/>
      <c r="E16" s="160"/>
      <c r="F16" s="192"/>
      <c r="G16" s="142"/>
    </row>
    <row r="17" spans="1:7" x14ac:dyDescent="0.2">
      <c r="A17" s="136" t="s">
        <v>39</v>
      </c>
      <c r="B17" s="181" t="s">
        <v>100</v>
      </c>
      <c r="C17" s="168">
        <v>4219937.1100000003</v>
      </c>
      <c r="D17" s="196">
        <v>1977804</v>
      </c>
      <c r="E17" s="161">
        <f t="shared" ref="E17:E36" si="0">F17-D17</f>
        <v>3136696</v>
      </c>
      <c r="F17" s="143">
        <v>5114500</v>
      </c>
      <c r="G17" s="143">
        <f>5125000-19000</f>
        <v>5106000</v>
      </c>
    </row>
    <row r="18" spans="1:7" x14ac:dyDescent="0.2">
      <c r="A18" s="136" t="s">
        <v>48</v>
      </c>
      <c r="B18" s="181" t="s">
        <v>101</v>
      </c>
      <c r="C18" s="172">
        <v>312000</v>
      </c>
      <c r="D18" s="197">
        <v>144000</v>
      </c>
      <c r="E18" s="161">
        <f t="shared" si="0"/>
        <v>216000</v>
      </c>
      <c r="F18" s="143">
        <v>360000</v>
      </c>
      <c r="G18" s="143">
        <v>360000</v>
      </c>
    </row>
    <row r="19" spans="1:7" x14ac:dyDescent="0.2">
      <c r="A19" s="136" t="s">
        <v>40</v>
      </c>
      <c r="B19" s="181" t="s">
        <v>120</v>
      </c>
      <c r="C19" s="172">
        <v>81000</v>
      </c>
      <c r="D19" s="197">
        <v>40500</v>
      </c>
      <c r="E19" s="161">
        <f t="shared" si="0"/>
        <v>40500</v>
      </c>
      <c r="F19" s="143">
        <v>81000</v>
      </c>
      <c r="G19" s="143">
        <v>81000</v>
      </c>
    </row>
    <row r="20" spans="1:7" x14ac:dyDescent="0.2">
      <c r="A20" s="136" t="s">
        <v>41</v>
      </c>
      <c r="B20" s="181" t="s">
        <v>121</v>
      </c>
      <c r="C20" s="172">
        <v>81000</v>
      </c>
      <c r="D20" s="197">
        <v>40500</v>
      </c>
      <c r="E20" s="161">
        <f t="shared" si="0"/>
        <v>40500</v>
      </c>
      <c r="F20" s="143">
        <v>81000</v>
      </c>
      <c r="G20" s="143">
        <v>81000</v>
      </c>
    </row>
    <row r="21" spans="1:7" x14ac:dyDescent="0.2">
      <c r="A21" s="136" t="s">
        <v>42</v>
      </c>
      <c r="B21" s="181" t="s">
        <v>102</v>
      </c>
      <c r="C21" s="172">
        <v>84000</v>
      </c>
      <c r="D21" s="197">
        <v>72000</v>
      </c>
      <c r="E21" s="161">
        <f t="shared" si="0"/>
        <v>18000</v>
      </c>
      <c r="F21" s="143">
        <v>90000</v>
      </c>
      <c r="G21" s="143">
        <v>90000</v>
      </c>
    </row>
    <row r="22" spans="1:7" x14ac:dyDescent="0.2">
      <c r="A22" s="136" t="s">
        <v>182</v>
      </c>
      <c r="B22" s="181" t="s">
        <v>158</v>
      </c>
      <c r="C22" s="168">
        <v>0</v>
      </c>
      <c r="D22" s="198">
        <v>0</v>
      </c>
      <c r="E22" s="161">
        <f t="shared" si="0"/>
        <v>0</v>
      </c>
      <c r="F22" s="198">
        <v>0</v>
      </c>
      <c r="G22" s="427">
        <v>0</v>
      </c>
    </row>
    <row r="23" spans="1:7" ht="12.75" customHeight="1" x14ac:dyDescent="0.2">
      <c r="A23" s="136" t="s">
        <v>94</v>
      </c>
      <c r="B23" s="181" t="s">
        <v>104</v>
      </c>
      <c r="C23" s="172">
        <v>349033.5</v>
      </c>
      <c r="D23" s="197">
        <v>0</v>
      </c>
      <c r="E23" s="161">
        <f t="shared" si="0"/>
        <v>426500</v>
      </c>
      <c r="F23" s="143">
        <v>426500</v>
      </c>
      <c r="G23" s="143">
        <v>428000</v>
      </c>
    </row>
    <row r="24" spans="1:7" x14ac:dyDescent="0.2">
      <c r="A24" s="136" t="s">
        <v>150</v>
      </c>
      <c r="B24" s="181" t="s">
        <v>127</v>
      </c>
      <c r="C24" s="172">
        <v>349033.5</v>
      </c>
      <c r="D24" s="161">
        <v>329634</v>
      </c>
      <c r="E24" s="161">
        <f t="shared" si="0"/>
        <v>96866</v>
      </c>
      <c r="F24" s="143">
        <v>426500</v>
      </c>
      <c r="G24" s="143">
        <v>428000</v>
      </c>
    </row>
    <row r="25" spans="1:7" x14ac:dyDescent="0.2">
      <c r="A25" s="136" t="s">
        <v>10</v>
      </c>
      <c r="B25" s="181" t="s">
        <v>103</v>
      </c>
      <c r="C25" s="172">
        <v>65000</v>
      </c>
      <c r="D25" s="197">
        <v>0</v>
      </c>
      <c r="E25" s="161">
        <f t="shared" si="0"/>
        <v>75000</v>
      </c>
      <c r="F25" s="143">
        <v>75000</v>
      </c>
      <c r="G25" s="143">
        <v>75000</v>
      </c>
    </row>
    <row r="26" spans="1:7" x14ac:dyDescent="0.2">
      <c r="A26" s="136" t="s">
        <v>160</v>
      </c>
      <c r="B26" s="181" t="s">
        <v>105</v>
      </c>
      <c r="C26" s="172">
        <v>506287.07</v>
      </c>
      <c r="D26" s="197">
        <v>237336.48</v>
      </c>
      <c r="E26" s="161">
        <f t="shared" si="0"/>
        <v>376663.52</v>
      </c>
      <c r="F26" s="143">
        <v>614000</v>
      </c>
      <c r="G26" s="143">
        <v>615000</v>
      </c>
    </row>
    <row r="27" spans="1:7" x14ac:dyDescent="0.2">
      <c r="A27" s="136" t="s">
        <v>49</v>
      </c>
      <c r="B27" s="181" t="s">
        <v>106</v>
      </c>
      <c r="C27" s="172">
        <v>84399.75</v>
      </c>
      <c r="D27" s="197">
        <v>39556.080000000002</v>
      </c>
      <c r="E27" s="161">
        <f t="shared" si="0"/>
        <v>62943.92</v>
      </c>
      <c r="F27" s="143">
        <v>102500</v>
      </c>
      <c r="G27" s="143">
        <v>103000</v>
      </c>
    </row>
    <row r="28" spans="1:7" x14ac:dyDescent="0.2">
      <c r="A28" s="136" t="s">
        <v>44</v>
      </c>
      <c r="B28" s="181" t="s">
        <v>107</v>
      </c>
      <c r="C28" s="172">
        <f>83593.49+2048.83</f>
        <v>85642.32</v>
      </c>
      <c r="D28" s="197">
        <v>38943.360000000001</v>
      </c>
      <c r="E28" s="161">
        <f t="shared" si="0"/>
        <v>76556.639999999999</v>
      </c>
      <c r="F28" s="143">
        <v>115500</v>
      </c>
      <c r="G28" s="143">
        <v>129000</v>
      </c>
    </row>
    <row r="29" spans="1:7" x14ac:dyDescent="0.2">
      <c r="A29" s="136" t="s">
        <v>188</v>
      </c>
      <c r="B29" s="181"/>
      <c r="C29" s="172"/>
      <c r="D29" s="197"/>
      <c r="E29" s="161"/>
      <c r="F29" s="143"/>
      <c r="G29" s="143"/>
    </row>
    <row r="30" spans="1:7" x14ac:dyDescent="0.2">
      <c r="A30" s="136" t="s">
        <v>231</v>
      </c>
      <c r="B30" s="181" t="s">
        <v>108</v>
      </c>
      <c r="C30" s="172">
        <v>24100</v>
      </c>
      <c r="D30" s="197">
        <v>7200</v>
      </c>
      <c r="E30" s="161">
        <f t="shared" si="0"/>
        <v>10800</v>
      </c>
      <c r="F30" s="143">
        <v>18000</v>
      </c>
      <c r="G30" s="143">
        <v>18000</v>
      </c>
    </row>
    <row r="31" spans="1:7" x14ac:dyDescent="0.2">
      <c r="A31" s="136" t="s">
        <v>70</v>
      </c>
      <c r="B31" s="181" t="s">
        <v>128</v>
      </c>
      <c r="C31" s="172">
        <v>264403.28000000003</v>
      </c>
      <c r="D31" s="197">
        <v>192129.17</v>
      </c>
      <c r="E31" s="161">
        <f t="shared" si="0"/>
        <v>207870.83</v>
      </c>
      <c r="F31" s="143">
        <v>400000</v>
      </c>
      <c r="G31" s="143">
        <f>387000+19000</f>
        <v>406000</v>
      </c>
    </row>
    <row r="32" spans="1:7" x14ac:dyDescent="0.2">
      <c r="A32" s="137" t="s">
        <v>60</v>
      </c>
      <c r="B32" s="181" t="s">
        <v>129</v>
      </c>
      <c r="C32" s="173">
        <v>65000</v>
      </c>
      <c r="D32" s="199">
        <v>0</v>
      </c>
      <c r="E32" s="161">
        <f t="shared" si="0"/>
        <v>75000</v>
      </c>
      <c r="F32" s="143">
        <v>75000</v>
      </c>
      <c r="G32" s="143">
        <v>75000</v>
      </c>
    </row>
    <row r="33" spans="1:7" x14ac:dyDescent="0.2">
      <c r="A33" s="137" t="s">
        <v>72</v>
      </c>
      <c r="B33" s="181" t="s">
        <v>130</v>
      </c>
      <c r="C33" s="173">
        <v>0</v>
      </c>
      <c r="D33" s="199">
        <v>0</v>
      </c>
      <c r="E33" s="161">
        <f t="shared" si="0"/>
        <v>0</v>
      </c>
      <c r="F33" s="199">
        <v>0</v>
      </c>
      <c r="G33" s="468">
        <v>5000</v>
      </c>
    </row>
    <row r="34" spans="1:7" x14ac:dyDescent="0.2">
      <c r="A34" s="137" t="s">
        <v>89</v>
      </c>
      <c r="B34" s="181" t="s">
        <v>131</v>
      </c>
      <c r="C34" s="173">
        <v>0</v>
      </c>
      <c r="D34" s="199">
        <v>0</v>
      </c>
      <c r="E34" s="161">
        <f t="shared" si="0"/>
        <v>0</v>
      </c>
      <c r="F34" s="199">
        <v>0</v>
      </c>
      <c r="G34" s="199">
        <v>0</v>
      </c>
    </row>
    <row r="35" spans="1:7" x14ac:dyDescent="0.2">
      <c r="A35" s="137" t="s">
        <v>260</v>
      </c>
      <c r="B35" s="184" t="s">
        <v>261</v>
      </c>
      <c r="C35" s="154">
        <v>325000</v>
      </c>
      <c r="D35" s="193">
        <v>0</v>
      </c>
      <c r="E35" s="161">
        <f t="shared" si="0"/>
        <v>0</v>
      </c>
      <c r="F35" s="193">
        <v>0</v>
      </c>
      <c r="G35" s="199">
        <v>0</v>
      </c>
    </row>
    <row r="36" spans="1:7" ht="13.5" thickBot="1" x14ac:dyDescent="0.25">
      <c r="A36" s="164" t="s">
        <v>293</v>
      </c>
      <c r="B36" s="182" t="s">
        <v>292</v>
      </c>
      <c r="C36" s="202">
        <v>260000</v>
      </c>
      <c r="D36" s="201">
        <v>0</v>
      </c>
      <c r="E36" s="161">
        <f t="shared" si="0"/>
        <v>0</v>
      </c>
      <c r="F36" s="201">
        <v>0</v>
      </c>
      <c r="G36" s="199">
        <v>0</v>
      </c>
    </row>
    <row r="37" spans="1:7" ht="11.25" customHeight="1" thickBot="1" x14ac:dyDescent="0.25">
      <c r="A37" s="12" t="s">
        <v>75</v>
      </c>
      <c r="B37" s="72"/>
      <c r="C37" s="117">
        <f>SUM(C17:C36)</f>
        <v>7155836.5300000012</v>
      </c>
      <c r="D37" s="118">
        <f>SUM(D17:D36)</f>
        <v>3119603.09</v>
      </c>
      <c r="E37" s="118">
        <f>SUM(E17:E36)</f>
        <v>4859896.9099999992</v>
      </c>
      <c r="F37" s="118">
        <f>SUM(F17:F36)</f>
        <v>7979500</v>
      </c>
      <c r="G37" s="120">
        <f>SUM(G17:G36)</f>
        <v>8000000</v>
      </c>
    </row>
    <row r="38" spans="1:7" x14ac:dyDescent="0.2">
      <c r="A38" s="163" t="s">
        <v>7</v>
      </c>
      <c r="B38" s="183"/>
      <c r="C38" s="171"/>
      <c r="D38" s="162"/>
      <c r="E38" s="162"/>
      <c r="F38" s="162"/>
      <c r="G38" s="146"/>
    </row>
    <row r="39" spans="1:7" x14ac:dyDescent="0.2">
      <c r="A39" s="137" t="s">
        <v>8</v>
      </c>
      <c r="B39" s="181" t="s">
        <v>109</v>
      </c>
      <c r="C39" s="166">
        <v>351130</v>
      </c>
      <c r="D39" s="161">
        <v>145050</v>
      </c>
      <c r="E39" s="161">
        <f t="shared" ref="E39:E53" si="1">F39-D39</f>
        <v>204950</v>
      </c>
      <c r="F39" s="188">
        <v>350000</v>
      </c>
      <c r="G39" s="188">
        <v>520000</v>
      </c>
    </row>
    <row r="40" spans="1:7" x14ac:dyDescent="0.2">
      <c r="A40" s="137" t="s">
        <v>281</v>
      </c>
      <c r="B40" s="181" t="s">
        <v>110</v>
      </c>
      <c r="C40" s="166">
        <v>6000</v>
      </c>
      <c r="D40" s="161">
        <v>18000</v>
      </c>
      <c r="E40" s="161">
        <f t="shared" si="1"/>
        <v>32000</v>
      </c>
      <c r="F40" s="188">
        <v>50000</v>
      </c>
      <c r="G40" s="188">
        <v>530500</v>
      </c>
    </row>
    <row r="41" spans="1:7" x14ac:dyDescent="0.2">
      <c r="A41" s="137" t="s">
        <v>13</v>
      </c>
      <c r="B41" s="181" t="s">
        <v>111</v>
      </c>
      <c r="C41" s="167">
        <v>45000</v>
      </c>
      <c r="D41" s="193">
        <v>29981</v>
      </c>
      <c r="E41" s="161">
        <f t="shared" si="1"/>
        <v>30019</v>
      </c>
      <c r="F41" s="149">
        <v>60000</v>
      </c>
      <c r="G41" s="149">
        <v>69600</v>
      </c>
    </row>
    <row r="42" spans="1:7" x14ac:dyDescent="0.2">
      <c r="A42" s="137" t="s">
        <v>322</v>
      </c>
      <c r="B42" s="181" t="s">
        <v>323</v>
      </c>
      <c r="C42" s="167">
        <v>247355</v>
      </c>
      <c r="D42" s="193">
        <v>125020</v>
      </c>
      <c r="E42" s="161">
        <f t="shared" si="1"/>
        <v>124980</v>
      </c>
      <c r="F42" s="149">
        <v>250000</v>
      </c>
      <c r="G42" s="149">
        <v>1000000</v>
      </c>
    </row>
    <row r="43" spans="1:7" x14ac:dyDescent="0.2">
      <c r="A43" s="136" t="s">
        <v>163</v>
      </c>
      <c r="B43" s="181" t="s">
        <v>122</v>
      </c>
      <c r="C43" s="166">
        <v>144960</v>
      </c>
      <c r="D43" s="161">
        <v>74730</v>
      </c>
      <c r="E43" s="161">
        <f t="shared" si="1"/>
        <v>75270</v>
      </c>
      <c r="F43" s="188">
        <v>150000</v>
      </c>
      <c r="G43" s="188">
        <v>200000</v>
      </c>
    </row>
    <row r="44" spans="1:7" x14ac:dyDescent="0.2">
      <c r="A44" s="136" t="s">
        <v>324</v>
      </c>
      <c r="B44" s="181" t="s">
        <v>325</v>
      </c>
      <c r="C44" s="166">
        <v>0</v>
      </c>
      <c r="D44" s="161">
        <v>210000</v>
      </c>
      <c r="E44" s="161">
        <f t="shared" si="1"/>
        <v>560000</v>
      </c>
      <c r="F44" s="188">
        <v>770000</v>
      </c>
      <c r="G44" s="188">
        <v>500000</v>
      </c>
    </row>
    <row r="45" spans="1:7" x14ac:dyDescent="0.2">
      <c r="A45" s="136" t="s">
        <v>164</v>
      </c>
      <c r="B45" s="181" t="s">
        <v>112</v>
      </c>
      <c r="C45" s="166">
        <v>14955</v>
      </c>
      <c r="D45" s="161">
        <v>33210</v>
      </c>
      <c r="E45" s="161">
        <f t="shared" si="1"/>
        <v>33280</v>
      </c>
      <c r="F45" s="188">
        <v>66490</v>
      </c>
      <c r="G45" s="188">
        <v>176500</v>
      </c>
    </row>
    <row r="46" spans="1:7" x14ac:dyDescent="0.2">
      <c r="A46" s="136" t="s">
        <v>17</v>
      </c>
      <c r="B46" s="181" t="s">
        <v>123</v>
      </c>
      <c r="C46" s="166">
        <v>1999.6</v>
      </c>
      <c r="D46" s="161">
        <v>0</v>
      </c>
      <c r="E46" s="161">
        <f t="shared" si="1"/>
        <v>0</v>
      </c>
      <c r="F46" s="188">
        <v>0</v>
      </c>
      <c r="G46" s="188">
        <v>0</v>
      </c>
    </row>
    <row r="47" spans="1:7" x14ac:dyDescent="0.2">
      <c r="A47" s="136" t="s">
        <v>166</v>
      </c>
      <c r="B47" s="181" t="s">
        <v>114</v>
      </c>
      <c r="C47" s="166">
        <v>38552</v>
      </c>
      <c r="D47" s="161">
        <v>14791</v>
      </c>
      <c r="E47" s="161">
        <f t="shared" si="1"/>
        <v>33209</v>
      </c>
      <c r="F47" s="188">
        <v>48000</v>
      </c>
      <c r="G47" s="188">
        <v>48000</v>
      </c>
    </row>
    <row r="48" spans="1:7" x14ac:dyDescent="0.2">
      <c r="A48" s="136" t="s">
        <v>247</v>
      </c>
      <c r="B48" s="181" t="s">
        <v>124</v>
      </c>
      <c r="C48" s="166">
        <v>0</v>
      </c>
      <c r="D48" s="161">
        <v>0</v>
      </c>
      <c r="E48" s="161">
        <f t="shared" si="1"/>
        <v>4000</v>
      </c>
      <c r="F48" s="188">
        <v>4000</v>
      </c>
      <c r="G48" s="188">
        <f>5000+4000</f>
        <v>9000</v>
      </c>
    </row>
    <row r="49" spans="1:7" x14ac:dyDescent="0.2">
      <c r="A49" s="136" t="s">
        <v>339</v>
      </c>
      <c r="B49" s="181"/>
      <c r="C49" s="166"/>
      <c r="D49" s="161"/>
      <c r="E49" s="161"/>
      <c r="F49" s="188"/>
      <c r="G49" s="188"/>
    </row>
    <row r="50" spans="1:7" x14ac:dyDescent="0.2">
      <c r="A50" s="136" t="s">
        <v>340</v>
      </c>
      <c r="B50" s="181" t="s">
        <v>148</v>
      </c>
      <c r="C50" s="166">
        <v>16900</v>
      </c>
      <c r="D50" s="161">
        <v>6756</v>
      </c>
      <c r="E50" s="161">
        <f t="shared" si="1"/>
        <v>11244</v>
      </c>
      <c r="F50" s="188">
        <v>18000</v>
      </c>
      <c r="G50" s="188">
        <v>14000</v>
      </c>
    </row>
    <row r="51" spans="1:7" x14ac:dyDescent="0.2">
      <c r="A51" s="136" t="s">
        <v>186</v>
      </c>
      <c r="B51" s="181" t="s">
        <v>187</v>
      </c>
      <c r="C51" s="166">
        <v>1200</v>
      </c>
      <c r="D51" s="161">
        <v>0</v>
      </c>
      <c r="E51" s="161">
        <f t="shared" si="1"/>
        <v>0</v>
      </c>
      <c r="F51" s="188">
        <v>0</v>
      </c>
      <c r="G51" s="188">
        <v>0</v>
      </c>
    </row>
    <row r="52" spans="1:7" x14ac:dyDescent="0.2">
      <c r="A52" s="136" t="s">
        <v>64</v>
      </c>
      <c r="B52" s="181" t="s">
        <v>137</v>
      </c>
      <c r="C52" s="167">
        <v>0</v>
      </c>
      <c r="D52" s="193">
        <v>0</v>
      </c>
      <c r="E52" s="161">
        <f t="shared" si="1"/>
        <v>15000</v>
      </c>
      <c r="F52" s="149">
        <v>15000</v>
      </c>
      <c r="G52" s="149">
        <v>183400</v>
      </c>
    </row>
    <row r="53" spans="1:7" ht="13.5" thickBot="1" x14ac:dyDescent="0.25">
      <c r="A53" s="136" t="s">
        <v>18</v>
      </c>
      <c r="B53" s="184" t="s">
        <v>116</v>
      </c>
      <c r="C53" s="174">
        <v>968.96</v>
      </c>
      <c r="D53" s="194">
        <v>48200</v>
      </c>
      <c r="E53" s="161">
        <f t="shared" si="1"/>
        <v>276800</v>
      </c>
      <c r="F53" s="150">
        <v>325000</v>
      </c>
      <c r="G53" s="150">
        <v>109000</v>
      </c>
    </row>
    <row r="54" spans="1:7" ht="9.75" customHeight="1" thickBot="1" x14ac:dyDescent="0.25">
      <c r="A54" s="12" t="s">
        <v>24</v>
      </c>
      <c r="B54" s="72"/>
      <c r="C54" s="68">
        <f>SUM(C39:C53)</f>
        <v>869020.55999999994</v>
      </c>
      <c r="D54" s="52">
        <f>SUM(D39:D53)</f>
        <v>705738</v>
      </c>
      <c r="E54" s="52">
        <f>SUM(E39:E53)</f>
        <v>1400752</v>
      </c>
      <c r="F54" s="67">
        <f>SUM(F39:F53)</f>
        <v>2106490</v>
      </c>
      <c r="G54" s="67">
        <f>SUM(G39:G53)</f>
        <v>3360000</v>
      </c>
    </row>
    <row r="55" spans="1:7" x14ac:dyDescent="0.2">
      <c r="A55" s="163" t="s">
        <v>9</v>
      </c>
      <c r="B55" s="203"/>
      <c r="C55" s="171"/>
      <c r="D55" s="162"/>
      <c r="E55" s="162"/>
      <c r="F55" s="146"/>
      <c r="G55" s="146"/>
    </row>
    <row r="56" spans="1:7" x14ac:dyDescent="0.2">
      <c r="A56" s="136" t="s">
        <v>78</v>
      </c>
      <c r="B56" s="299" t="s">
        <v>117</v>
      </c>
      <c r="C56" s="166">
        <v>0</v>
      </c>
      <c r="D56" s="161">
        <v>0</v>
      </c>
      <c r="E56" s="161">
        <v>0</v>
      </c>
      <c r="F56" s="188">
        <v>0</v>
      </c>
      <c r="G56" s="188">
        <v>0</v>
      </c>
    </row>
    <row r="57" spans="1:7" x14ac:dyDescent="0.2">
      <c r="A57" s="136" t="s">
        <v>209</v>
      </c>
      <c r="B57" s="204"/>
      <c r="C57" s="176"/>
      <c r="D57" s="195"/>
      <c r="E57" s="161"/>
      <c r="F57" s="188"/>
      <c r="G57" s="188"/>
    </row>
    <row r="58" spans="1:7" x14ac:dyDescent="0.2">
      <c r="A58" s="136" t="s">
        <v>230</v>
      </c>
      <c r="B58" s="181" t="s">
        <v>125</v>
      </c>
      <c r="C58" s="166">
        <v>205000</v>
      </c>
      <c r="D58" s="161">
        <v>0</v>
      </c>
      <c r="E58" s="161">
        <f>F58-D58</f>
        <v>0</v>
      </c>
      <c r="F58" s="188">
        <v>0</v>
      </c>
      <c r="G58" s="188">
        <v>0</v>
      </c>
    </row>
    <row r="59" spans="1:7" x14ac:dyDescent="0.2">
      <c r="A59" s="136" t="s">
        <v>84</v>
      </c>
      <c r="B59" s="181" t="s">
        <v>118</v>
      </c>
      <c r="C59" s="166">
        <v>59000</v>
      </c>
      <c r="D59" s="161">
        <v>0</v>
      </c>
      <c r="E59" s="161">
        <f>F59-D59</f>
        <v>0</v>
      </c>
      <c r="F59" s="188">
        <v>0</v>
      </c>
      <c r="G59" s="188">
        <v>0</v>
      </c>
    </row>
    <row r="60" spans="1:7" ht="13.5" thickBot="1" x14ac:dyDescent="0.25">
      <c r="A60" s="136" t="s">
        <v>258</v>
      </c>
      <c r="B60" s="184" t="s">
        <v>119</v>
      </c>
      <c r="C60" s="174">
        <v>0</v>
      </c>
      <c r="D60" s="194">
        <v>0</v>
      </c>
      <c r="E60" s="161">
        <f>F60-D60</f>
        <v>0</v>
      </c>
      <c r="F60" s="150">
        <v>0</v>
      </c>
      <c r="G60" s="150">
        <v>0</v>
      </c>
    </row>
    <row r="61" spans="1:7" ht="10.5" customHeight="1" thickBot="1" x14ac:dyDescent="0.25">
      <c r="A61" s="12" t="s">
        <v>85</v>
      </c>
      <c r="B61" s="86"/>
      <c r="C61" s="68">
        <f>SUM(C56:C60)</f>
        <v>264000</v>
      </c>
      <c r="D61" s="52">
        <f>SUM(D56:D60)</f>
        <v>0</v>
      </c>
      <c r="E61" s="52">
        <f>SUM(E56:E60)</f>
        <v>0</v>
      </c>
      <c r="F61" s="52">
        <f>SUM(F56:F60)</f>
        <v>0</v>
      </c>
      <c r="G61" s="67">
        <f>SUM(G57:G60)</f>
        <v>0</v>
      </c>
    </row>
    <row r="62" spans="1:7" ht="13.5" thickBot="1" x14ac:dyDescent="0.25">
      <c r="A62" s="13" t="s">
        <v>53</v>
      </c>
      <c r="B62" s="69"/>
      <c r="C62" s="70">
        <f>C37+C54+C61</f>
        <v>8288857.0900000008</v>
      </c>
      <c r="D62" s="51">
        <f>D37+D54+D61</f>
        <v>3825341.09</v>
      </c>
      <c r="E62" s="51">
        <f>E37+E54+E61</f>
        <v>6260648.9099999992</v>
      </c>
      <c r="F62" s="66">
        <f>F37+F54+F61</f>
        <v>10085990</v>
      </c>
      <c r="G62" s="66">
        <f>G37+G54+G61</f>
        <v>11360000</v>
      </c>
    </row>
    <row r="63" spans="1:7" ht="12.75" customHeight="1" x14ac:dyDescent="0.2">
      <c r="A63" s="22"/>
      <c r="B63" s="25"/>
      <c r="C63" s="25"/>
      <c r="D63" s="25"/>
      <c r="E63" s="25"/>
      <c r="F63" s="25"/>
      <c r="G63" s="27"/>
    </row>
    <row r="64" spans="1:7" x14ac:dyDescent="0.2">
      <c r="A64" s="22" t="s">
        <v>234</v>
      </c>
      <c r="B64" s="22" t="s">
        <v>172</v>
      </c>
      <c r="C64" s="22"/>
      <c r="D64" s="15"/>
      <c r="E64" s="527" t="s">
        <v>16</v>
      </c>
      <c r="F64" s="527"/>
      <c r="G64" s="8"/>
    </row>
    <row r="65" spans="1:7" x14ac:dyDescent="0.2">
      <c r="A65" s="8"/>
      <c r="B65" s="15"/>
      <c r="C65" s="15"/>
      <c r="D65" s="15"/>
      <c r="E65" s="15"/>
      <c r="F65" s="15"/>
      <c r="G65" s="15"/>
    </row>
    <row r="66" spans="1:7" x14ac:dyDescent="0.2">
      <c r="A66" s="8"/>
      <c r="B66" s="15"/>
      <c r="C66" s="15"/>
      <c r="D66" s="15"/>
      <c r="E66" s="15"/>
      <c r="F66" s="15"/>
      <c r="G66" s="15"/>
    </row>
    <row r="67" spans="1:7" x14ac:dyDescent="0.2">
      <c r="A67" s="4" t="s">
        <v>179</v>
      </c>
      <c r="B67" s="528" t="s">
        <v>259</v>
      </c>
      <c r="C67" s="528"/>
      <c r="D67" s="528"/>
      <c r="E67" s="23"/>
      <c r="F67" s="529" t="s">
        <v>271</v>
      </c>
      <c r="G67" s="529"/>
    </row>
    <row r="68" spans="1:7" x14ac:dyDescent="0.2">
      <c r="A68" s="8" t="s">
        <v>233</v>
      </c>
      <c r="B68" s="518" t="s">
        <v>270</v>
      </c>
      <c r="C68" s="518"/>
      <c r="D68" s="518"/>
      <c r="E68" s="15"/>
      <c r="F68" s="519" t="s">
        <v>51</v>
      </c>
      <c r="G68" s="519"/>
    </row>
    <row r="69" spans="1:7" x14ac:dyDescent="0.2">
      <c r="A69" s="8"/>
      <c r="B69" s="373"/>
      <c r="C69" s="373"/>
      <c r="D69" s="373"/>
      <c r="E69" s="15"/>
      <c r="F69" s="374"/>
      <c r="G69" s="374"/>
    </row>
    <row r="70" spans="1:7" x14ac:dyDescent="0.2">
      <c r="B70" s="113"/>
      <c r="C70" s="113"/>
      <c r="D70" s="113"/>
    </row>
    <row r="42416" ht="6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2.2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</sheetData>
  <mergeCells count="10">
    <mergeCell ref="B68:D68"/>
    <mergeCell ref="F68:G68"/>
    <mergeCell ref="F12:F13"/>
    <mergeCell ref="E64:F64"/>
    <mergeCell ref="F67:G67"/>
    <mergeCell ref="B67:D67"/>
    <mergeCell ref="A11:A13"/>
    <mergeCell ref="A5:G5"/>
    <mergeCell ref="D8:F8"/>
    <mergeCell ref="D11:F11"/>
  </mergeCells>
  <phoneticPr fontId="0" type="noConversion"/>
  <pageMargins left="0.31496062992125984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2:G82"/>
  <sheetViews>
    <sheetView view="pageBreakPreview" topLeftCell="A28" zoomScaleNormal="100" zoomScaleSheetLayoutView="100" workbookViewId="0">
      <selection activeCell="D11" sqref="D11:F11"/>
    </sheetView>
  </sheetViews>
  <sheetFormatPr defaultColWidth="9.28515625" defaultRowHeight="12.75" x14ac:dyDescent="0.2"/>
  <cols>
    <col min="1" max="1" width="36.7109375" style="15" customWidth="1"/>
    <col min="2" max="2" width="8.5703125" style="28" customWidth="1"/>
    <col min="3" max="3" width="22" style="28" customWidth="1"/>
    <col min="4" max="4" width="11.42578125" style="28" customWidth="1"/>
    <col min="5" max="5" width="11.28515625" style="28" customWidth="1"/>
    <col min="6" max="6" width="11" style="28" customWidth="1"/>
    <col min="7" max="7" width="11.28515625" style="28" customWidth="1"/>
    <col min="8" max="16384" width="9.28515625" style="3"/>
  </cols>
  <sheetData>
    <row r="2" spans="1:7" x14ac:dyDescent="0.2">
      <c r="A2" s="478" t="s">
        <v>344</v>
      </c>
      <c r="B2" s="471"/>
      <c r="C2" s="471"/>
      <c r="D2" s="471"/>
      <c r="E2" s="471"/>
      <c r="F2" s="471"/>
      <c r="G2" s="471"/>
    </row>
    <row r="3" spans="1:7" x14ac:dyDescent="0.2">
      <c r="A3" s="478" t="s">
        <v>345</v>
      </c>
      <c r="B3" s="479"/>
      <c r="C3" s="479"/>
      <c r="D3" s="479"/>
      <c r="E3" s="479"/>
      <c r="F3" s="479"/>
      <c r="G3" s="479"/>
    </row>
    <row r="4" spans="1:7" x14ac:dyDescent="0.2">
      <c r="A4" s="480" t="s">
        <v>346</v>
      </c>
      <c r="B4" s="479"/>
      <c r="C4" s="479"/>
      <c r="D4" s="479"/>
      <c r="E4" s="479"/>
      <c r="F4" s="479"/>
      <c r="G4" s="479"/>
    </row>
    <row r="5" spans="1:7" x14ac:dyDescent="0.2">
      <c r="A5" s="474"/>
      <c r="B5" s="474"/>
      <c r="C5" s="474"/>
      <c r="D5" s="474"/>
      <c r="E5" s="474"/>
      <c r="F5" s="474"/>
      <c r="G5" s="474"/>
    </row>
    <row r="6" spans="1:7" ht="15" x14ac:dyDescent="0.25">
      <c r="A6" s="530" t="s">
        <v>347</v>
      </c>
      <c r="B6" s="530"/>
      <c r="C6" s="530"/>
      <c r="D6" s="530"/>
      <c r="E6" s="530"/>
      <c r="F6" s="530"/>
      <c r="G6" s="530"/>
    </row>
    <row r="7" spans="1:7" ht="15" x14ac:dyDescent="0.25">
      <c r="A7" s="481"/>
      <c r="B7" s="481"/>
      <c r="C7" s="481"/>
      <c r="D7" s="481"/>
      <c r="E7" s="481"/>
      <c r="F7" s="481"/>
      <c r="G7" s="481"/>
    </row>
    <row r="8" spans="1:7" ht="15" x14ac:dyDescent="0.2">
      <c r="A8" s="510" t="s">
        <v>348</v>
      </c>
      <c r="B8" s="499" t="s">
        <v>349</v>
      </c>
      <c r="C8" s="511"/>
      <c r="D8" s="510" t="s">
        <v>350</v>
      </c>
      <c r="E8" s="499">
        <v>2024</v>
      </c>
      <c r="F8" s="511"/>
      <c r="G8" s="511"/>
    </row>
    <row r="9" spans="1:7" ht="28.5" customHeight="1" x14ac:dyDescent="0.25">
      <c r="A9" s="512" t="s">
        <v>351</v>
      </c>
      <c r="B9" s="500" t="s">
        <v>352</v>
      </c>
      <c r="C9" s="477"/>
      <c r="D9" s="512" t="s">
        <v>353</v>
      </c>
      <c r="E9" s="542" t="s">
        <v>367</v>
      </c>
      <c r="F9" s="542"/>
      <c r="G9" s="477"/>
    </row>
    <row r="10" spans="1:7" ht="15.75" thickBot="1" x14ac:dyDescent="0.3">
      <c r="A10" s="512" t="s">
        <v>354</v>
      </c>
      <c r="B10" s="500" t="s">
        <v>355</v>
      </c>
      <c r="C10" s="477"/>
      <c r="D10" s="477"/>
      <c r="E10" s="477"/>
      <c r="F10" s="477"/>
      <c r="G10" s="477"/>
    </row>
    <row r="11" spans="1:7" ht="13.5" thickBot="1" x14ac:dyDescent="0.25">
      <c r="A11" s="520" t="s">
        <v>27</v>
      </c>
      <c r="B11" s="179" t="s">
        <v>15</v>
      </c>
      <c r="C11" s="131" t="s">
        <v>1</v>
      </c>
      <c r="D11" s="522" t="s">
        <v>329</v>
      </c>
      <c r="E11" s="523"/>
      <c r="F11" s="524"/>
      <c r="G11" s="132" t="s">
        <v>3</v>
      </c>
    </row>
    <row r="12" spans="1:7" x14ac:dyDescent="0.2">
      <c r="A12" s="521"/>
      <c r="B12" s="157" t="s">
        <v>0</v>
      </c>
      <c r="C12" s="130">
        <v>2022</v>
      </c>
      <c r="D12" s="156" t="s">
        <v>167</v>
      </c>
      <c r="E12" s="245" t="s">
        <v>168</v>
      </c>
      <c r="F12" s="525" t="s">
        <v>169</v>
      </c>
      <c r="G12" s="133">
        <v>2024</v>
      </c>
    </row>
    <row r="13" spans="1:7" x14ac:dyDescent="0.2">
      <c r="A13" s="521"/>
      <c r="B13" s="180"/>
      <c r="C13" s="130" t="s">
        <v>2</v>
      </c>
      <c r="D13" s="157" t="s">
        <v>2</v>
      </c>
      <c r="E13" s="130" t="s">
        <v>183</v>
      </c>
      <c r="F13" s="526"/>
      <c r="G13" s="133" t="s">
        <v>33</v>
      </c>
    </row>
    <row r="14" spans="1:7" ht="13.5" thickBot="1" x14ac:dyDescent="0.25">
      <c r="A14" s="138" t="s">
        <v>28</v>
      </c>
      <c r="B14" s="158" t="s">
        <v>29</v>
      </c>
      <c r="C14" s="139" t="s">
        <v>30</v>
      </c>
      <c r="D14" s="158" t="s">
        <v>31</v>
      </c>
      <c r="E14" s="139" t="s">
        <v>32</v>
      </c>
      <c r="F14" s="158" t="s">
        <v>170</v>
      </c>
      <c r="G14" s="140" t="s">
        <v>171</v>
      </c>
    </row>
    <row r="15" spans="1:7" x14ac:dyDescent="0.2">
      <c r="A15" s="163" t="s">
        <v>4</v>
      </c>
      <c r="B15" s="159"/>
      <c r="C15" s="27"/>
      <c r="D15" s="159"/>
      <c r="E15" s="27"/>
      <c r="F15" s="159"/>
      <c r="G15" s="141"/>
    </row>
    <row r="16" spans="1:7" x14ac:dyDescent="0.2">
      <c r="A16" s="163" t="s">
        <v>5</v>
      </c>
      <c r="B16" s="160"/>
      <c r="C16" s="39"/>
      <c r="D16" s="160"/>
      <c r="E16" s="39"/>
      <c r="F16" s="160"/>
      <c r="G16" s="142"/>
    </row>
    <row r="17" spans="1:7" x14ac:dyDescent="0.2">
      <c r="A17" s="136" t="s">
        <v>46</v>
      </c>
      <c r="B17" s="181" t="s">
        <v>100</v>
      </c>
      <c r="C17" s="173">
        <v>522890.09</v>
      </c>
      <c r="D17" s="199">
        <v>592572.49</v>
      </c>
      <c r="E17" s="166">
        <f t="shared" ref="E17:E35" si="0">F17-D17</f>
        <v>991427.51</v>
      </c>
      <c r="F17" s="378">
        <v>1584000</v>
      </c>
      <c r="G17" s="143">
        <v>1584000</v>
      </c>
    </row>
    <row r="18" spans="1:7" x14ac:dyDescent="0.2">
      <c r="A18" s="136" t="s">
        <v>48</v>
      </c>
      <c r="B18" s="181" t="s">
        <v>101</v>
      </c>
      <c r="C18" s="173">
        <v>88363.7</v>
      </c>
      <c r="D18" s="199">
        <v>50636.38</v>
      </c>
      <c r="E18" s="166">
        <f t="shared" si="0"/>
        <v>69363.62</v>
      </c>
      <c r="F18" s="378">
        <v>120000</v>
      </c>
      <c r="G18" s="143">
        <v>120000</v>
      </c>
    </row>
    <row r="19" spans="1:7" x14ac:dyDescent="0.2">
      <c r="A19" s="136" t="s">
        <v>40</v>
      </c>
      <c r="B19" s="181" t="s">
        <v>120</v>
      </c>
      <c r="C19" s="173">
        <v>81000</v>
      </c>
      <c r="D19" s="199">
        <v>40500</v>
      </c>
      <c r="E19" s="166">
        <f t="shared" si="0"/>
        <v>40500</v>
      </c>
      <c r="F19" s="378">
        <v>81000</v>
      </c>
      <c r="G19" s="143">
        <v>81000</v>
      </c>
    </row>
    <row r="20" spans="1:7" x14ac:dyDescent="0.2">
      <c r="A20" s="136" t="s">
        <v>41</v>
      </c>
      <c r="B20" s="181" t="s">
        <v>121</v>
      </c>
      <c r="C20" s="173">
        <v>81000</v>
      </c>
      <c r="D20" s="199">
        <v>40500</v>
      </c>
      <c r="E20" s="166">
        <f t="shared" si="0"/>
        <v>40500</v>
      </c>
      <c r="F20" s="378">
        <v>81000</v>
      </c>
      <c r="G20" s="143">
        <v>81000</v>
      </c>
    </row>
    <row r="21" spans="1:7" x14ac:dyDescent="0.2">
      <c r="A21" s="136" t="s">
        <v>42</v>
      </c>
      <c r="B21" s="181" t="s">
        <v>102</v>
      </c>
      <c r="C21" s="173">
        <v>18000</v>
      </c>
      <c r="D21" s="199">
        <v>24000</v>
      </c>
      <c r="E21" s="166">
        <f t="shared" si="0"/>
        <v>6000</v>
      </c>
      <c r="F21" s="378">
        <v>30000</v>
      </c>
      <c r="G21" s="143">
        <v>30000</v>
      </c>
    </row>
    <row r="22" spans="1:7" x14ac:dyDescent="0.2">
      <c r="A22" s="136" t="s">
        <v>182</v>
      </c>
      <c r="B22" s="181" t="s">
        <v>158</v>
      </c>
      <c r="C22" s="168">
        <v>0</v>
      </c>
      <c r="D22" s="198">
        <v>0</v>
      </c>
      <c r="E22" s="166">
        <f t="shared" si="0"/>
        <v>0</v>
      </c>
      <c r="F22" s="198">
        <v>0</v>
      </c>
      <c r="G22" s="198">
        <v>0</v>
      </c>
    </row>
    <row r="23" spans="1:7" x14ac:dyDescent="0.2">
      <c r="A23" s="136" t="s">
        <v>94</v>
      </c>
      <c r="B23" s="181" t="s">
        <v>104</v>
      </c>
      <c r="C23" s="173">
        <v>33795</v>
      </c>
      <c r="D23" s="199">
        <v>0</v>
      </c>
      <c r="E23" s="166">
        <f t="shared" si="0"/>
        <v>132000</v>
      </c>
      <c r="F23" s="397">
        <v>132000</v>
      </c>
      <c r="G23" s="319">
        <v>132000</v>
      </c>
    </row>
    <row r="24" spans="1:7" x14ac:dyDescent="0.2">
      <c r="A24" s="136" t="s">
        <v>150</v>
      </c>
      <c r="B24" s="181" t="s">
        <v>127</v>
      </c>
      <c r="C24" s="166">
        <v>33795</v>
      </c>
      <c r="D24" s="161">
        <v>131968</v>
      </c>
      <c r="E24" s="166">
        <f t="shared" si="0"/>
        <v>32</v>
      </c>
      <c r="F24" s="397">
        <v>132000</v>
      </c>
      <c r="G24" s="319">
        <v>132000</v>
      </c>
    </row>
    <row r="25" spans="1:7" x14ac:dyDescent="0.2">
      <c r="A25" s="136" t="s">
        <v>10</v>
      </c>
      <c r="B25" s="181" t="s">
        <v>103</v>
      </c>
      <c r="C25" s="173">
        <v>17000</v>
      </c>
      <c r="D25" s="199">
        <v>0</v>
      </c>
      <c r="E25" s="166">
        <f t="shared" si="0"/>
        <v>25000</v>
      </c>
      <c r="F25" s="378">
        <v>25000</v>
      </c>
      <c r="G25" s="143">
        <v>25000</v>
      </c>
    </row>
    <row r="26" spans="1:7" x14ac:dyDescent="0.2">
      <c r="A26" s="136" t="s">
        <v>160</v>
      </c>
      <c r="B26" s="181" t="s">
        <v>105</v>
      </c>
      <c r="C26" s="173">
        <v>61050.93</v>
      </c>
      <c r="D26" s="199">
        <v>68847.87</v>
      </c>
      <c r="E26" s="166">
        <f t="shared" si="0"/>
        <v>121652.13</v>
      </c>
      <c r="F26" s="397">
        <v>190500</v>
      </c>
      <c r="G26" s="319">
        <v>191000</v>
      </c>
    </row>
    <row r="27" spans="1:7" x14ac:dyDescent="0.2">
      <c r="A27" s="136" t="s">
        <v>43</v>
      </c>
      <c r="B27" s="181" t="s">
        <v>106</v>
      </c>
      <c r="C27" s="173">
        <v>13685.1</v>
      </c>
      <c r="D27" s="199">
        <v>11609.08</v>
      </c>
      <c r="E27" s="166">
        <f t="shared" si="0"/>
        <v>20390.919999999998</v>
      </c>
      <c r="F27" s="378">
        <v>32000</v>
      </c>
      <c r="G27" s="143">
        <v>32000</v>
      </c>
    </row>
    <row r="28" spans="1:7" x14ac:dyDescent="0.2">
      <c r="A28" s="136" t="s">
        <v>44</v>
      </c>
      <c r="B28" s="181" t="s">
        <v>107</v>
      </c>
      <c r="C28" s="173">
        <v>10136.790000000001</v>
      </c>
      <c r="D28" s="199">
        <v>11566.28</v>
      </c>
      <c r="E28" s="166">
        <f t="shared" si="0"/>
        <v>24433.72</v>
      </c>
      <c r="F28" s="378">
        <v>36000</v>
      </c>
      <c r="G28" s="143">
        <v>40000</v>
      </c>
    </row>
    <row r="29" spans="1:7" x14ac:dyDescent="0.2">
      <c r="A29" s="136" t="s">
        <v>161</v>
      </c>
      <c r="B29" s="181" t="s">
        <v>108</v>
      </c>
      <c r="C29" s="173">
        <v>5300</v>
      </c>
      <c r="D29" s="199">
        <v>2600</v>
      </c>
      <c r="E29" s="166">
        <f t="shared" si="0"/>
        <v>3400</v>
      </c>
      <c r="F29" s="378">
        <v>6000</v>
      </c>
      <c r="G29" s="143">
        <v>6000</v>
      </c>
    </row>
    <row r="30" spans="1:7" x14ac:dyDescent="0.2">
      <c r="A30" s="136" t="s">
        <v>45</v>
      </c>
      <c r="B30" s="181" t="s">
        <v>128</v>
      </c>
      <c r="C30" s="173">
        <v>41016.800000000003</v>
      </c>
      <c r="D30" s="199">
        <v>29884.29</v>
      </c>
      <c r="E30" s="166">
        <f t="shared" si="0"/>
        <v>45115.71</v>
      </c>
      <c r="F30" s="378">
        <v>75000</v>
      </c>
      <c r="G30" s="143">
        <v>71000</v>
      </c>
    </row>
    <row r="31" spans="1:7" x14ac:dyDescent="0.2">
      <c r="A31" s="136" t="s">
        <v>71</v>
      </c>
      <c r="B31" s="181" t="s">
        <v>129</v>
      </c>
      <c r="C31" s="173">
        <v>20000</v>
      </c>
      <c r="D31" s="199">
        <v>0</v>
      </c>
      <c r="E31" s="166">
        <f t="shared" si="0"/>
        <v>25000</v>
      </c>
      <c r="F31" s="378">
        <v>25000</v>
      </c>
      <c r="G31" s="143">
        <v>25000</v>
      </c>
    </row>
    <row r="32" spans="1:7" x14ac:dyDescent="0.2">
      <c r="A32" s="137" t="s">
        <v>87</v>
      </c>
      <c r="B32" s="181" t="s">
        <v>130</v>
      </c>
      <c r="C32" s="173">
        <v>0</v>
      </c>
      <c r="D32" s="199">
        <v>0</v>
      </c>
      <c r="E32" s="166">
        <f t="shared" si="0"/>
        <v>0</v>
      </c>
      <c r="F32" s="199">
        <v>0</v>
      </c>
      <c r="G32" s="427">
        <v>0</v>
      </c>
    </row>
    <row r="33" spans="1:7" x14ac:dyDescent="0.2">
      <c r="A33" s="137" t="s">
        <v>89</v>
      </c>
      <c r="B33" s="181" t="s">
        <v>131</v>
      </c>
      <c r="C33" s="173">
        <v>0</v>
      </c>
      <c r="D33" s="199">
        <v>0</v>
      </c>
      <c r="E33" s="166">
        <f t="shared" si="0"/>
        <v>0</v>
      </c>
      <c r="F33" s="199">
        <v>0</v>
      </c>
      <c r="G33" s="428">
        <v>0</v>
      </c>
    </row>
    <row r="34" spans="1:7" x14ac:dyDescent="0.2">
      <c r="A34" s="137" t="s">
        <v>260</v>
      </c>
      <c r="B34" s="181" t="s">
        <v>261</v>
      </c>
      <c r="C34" s="169">
        <v>100000</v>
      </c>
      <c r="D34" s="200">
        <v>0</v>
      </c>
      <c r="E34" s="166">
        <f t="shared" si="0"/>
        <v>0</v>
      </c>
      <c r="F34" s="200">
        <v>0</v>
      </c>
      <c r="G34" s="430">
        <v>0</v>
      </c>
    </row>
    <row r="35" spans="1:7" ht="13.5" thickBot="1" x14ac:dyDescent="0.25">
      <c r="A35" s="164" t="s">
        <v>293</v>
      </c>
      <c r="B35" s="182" t="s">
        <v>292</v>
      </c>
      <c r="C35" s="170">
        <v>80000</v>
      </c>
      <c r="D35" s="295">
        <v>0</v>
      </c>
      <c r="E35" s="166">
        <f t="shared" si="0"/>
        <v>0</v>
      </c>
      <c r="F35" s="295">
        <v>0</v>
      </c>
      <c r="G35" s="429">
        <v>0</v>
      </c>
    </row>
    <row r="36" spans="1:7" ht="10.5" customHeight="1" thickBot="1" x14ac:dyDescent="0.25">
      <c r="A36" s="12" t="s">
        <v>6</v>
      </c>
      <c r="B36" s="72"/>
      <c r="C36" s="117">
        <f>SUM(C17:C35)</f>
        <v>1207033.4100000001</v>
      </c>
      <c r="D36" s="118">
        <f>SUM(D17:D35)</f>
        <v>1004684.39</v>
      </c>
      <c r="E36" s="117">
        <f>SUM(E17:E35)</f>
        <v>1544815.6099999996</v>
      </c>
      <c r="F36" s="394">
        <f>SUM(F17:F35)</f>
        <v>2549500</v>
      </c>
      <c r="G36" s="120">
        <f>SUM(G17:G35)</f>
        <v>2550000</v>
      </c>
    </row>
    <row r="37" spans="1:7" x14ac:dyDescent="0.2">
      <c r="A37" s="317" t="s">
        <v>7</v>
      </c>
      <c r="B37" s="183"/>
      <c r="C37" s="171"/>
      <c r="D37" s="162"/>
      <c r="E37" s="171"/>
      <c r="F37" s="380"/>
      <c r="G37" s="146"/>
    </row>
    <row r="38" spans="1:7" x14ac:dyDescent="0.2">
      <c r="A38" s="137" t="s">
        <v>8</v>
      </c>
      <c r="B38" s="181" t="s">
        <v>109</v>
      </c>
      <c r="C38" s="172">
        <v>18890</v>
      </c>
      <c r="D38" s="197">
        <v>11200</v>
      </c>
      <c r="E38" s="166">
        <f t="shared" ref="E38:E54" si="1">F38-D38</f>
        <v>88800</v>
      </c>
      <c r="F38" s="197">
        <v>100000</v>
      </c>
      <c r="G38" s="147">
        <v>100000</v>
      </c>
    </row>
    <row r="39" spans="1:7" x14ac:dyDescent="0.2">
      <c r="A39" s="137" t="s">
        <v>281</v>
      </c>
      <c r="B39" s="181" t="s">
        <v>110</v>
      </c>
      <c r="C39" s="172">
        <v>13200</v>
      </c>
      <c r="D39" s="197">
        <v>7550</v>
      </c>
      <c r="E39" s="166">
        <f t="shared" si="1"/>
        <v>57450</v>
      </c>
      <c r="F39" s="197">
        <v>65000</v>
      </c>
      <c r="G39" s="147">
        <v>65000</v>
      </c>
    </row>
    <row r="40" spans="1:7" x14ac:dyDescent="0.2">
      <c r="A40" s="137" t="s">
        <v>13</v>
      </c>
      <c r="B40" s="181" t="s">
        <v>111</v>
      </c>
      <c r="C40" s="172">
        <v>50000</v>
      </c>
      <c r="D40" s="197">
        <v>15259</v>
      </c>
      <c r="E40" s="166">
        <f t="shared" si="1"/>
        <v>34741</v>
      </c>
      <c r="F40" s="197">
        <v>50000</v>
      </c>
      <c r="G40" s="147">
        <v>70000</v>
      </c>
    </row>
    <row r="41" spans="1:7" x14ac:dyDescent="0.2">
      <c r="A41" s="136" t="s">
        <v>163</v>
      </c>
      <c r="B41" s="181" t="s">
        <v>122</v>
      </c>
      <c r="C41" s="172">
        <v>68266</v>
      </c>
      <c r="D41" s="197">
        <v>13125</v>
      </c>
      <c r="E41" s="166">
        <f t="shared" si="1"/>
        <v>126875</v>
      </c>
      <c r="F41" s="197">
        <v>140000</v>
      </c>
      <c r="G41" s="147">
        <v>140000</v>
      </c>
    </row>
    <row r="42" spans="1:7" x14ac:dyDescent="0.2">
      <c r="A42" s="136" t="s">
        <v>164</v>
      </c>
      <c r="B42" s="181" t="s">
        <v>112</v>
      </c>
      <c r="C42" s="172">
        <v>204000</v>
      </c>
      <c r="D42" s="197">
        <v>137620</v>
      </c>
      <c r="E42" s="166">
        <f t="shared" si="1"/>
        <v>152380</v>
      </c>
      <c r="F42" s="197">
        <v>290000</v>
      </c>
      <c r="G42" s="147">
        <v>350000</v>
      </c>
    </row>
    <row r="43" spans="1:7" x14ac:dyDescent="0.2">
      <c r="A43" s="136" t="s">
        <v>166</v>
      </c>
      <c r="B43" s="181" t="s">
        <v>114</v>
      </c>
      <c r="C43" s="172">
        <v>20802</v>
      </c>
      <c r="D43" s="197">
        <v>5798</v>
      </c>
      <c r="E43" s="166">
        <f t="shared" si="1"/>
        <v>42202</v>
      </c>
      <c r="F43" s="197">
        <v>48000</v>
      </c>
      <c r="G43" s="147">
        <v>48000</v>
      </c>
    </row>
    <row r="44" spans="1:7" x14ac:dyDescent="0.2">
      <c r="A44" s="136" t="s">
        <v>320</v>
      </c>
      <c r="B44" s="181"/>
      <c r="C44" s="172"/>
      <c r="D44" s="197"/>
      <c r="E44" s="166"/>
      <c r="F44" s="197"/>
      <c r="G44" s="147"/>
    </row>
    <row r="45" spans="1:7" x14ac:dyDescent="0.2">
      <c r="A45" s="136" t="s">
        <v>321</v>
      </c>
      <c r="B45" s="181" t="s">
        <v>147</v>
      </c>
      <c r="C45" s="172">
        <v>0</v>
      </c>
      <c r="D45" s="197">
        <v>138500</v>
      </c>
      <c r="E45" s="166">
        <f t="shared" si="1"/>
        <v>361500</v>
      </c>
      <c r="F45" s="197">
        <v>500000</v>
      </c>
      <c r="G45" s="147">
        <v>1000000</v>
      </c>
    </row>
    <row r="46" spans="1:7" x14ac:dyDescent="0.2">
      <c r="A46" s="136" t="s">
        <v>247</v>
      </c>
      <c r="B46" s="181" t="s">
        <v>124</v>
      </c>
      <c r="C46" s="172">
        <v>9984</v>
      </c>
      <c r="D46" s="197">
        <v>0</v>
      </c>
      <c r="E46" s="166">
        <f t="shared" si="1"/>
        <v>10000</v>
      </c>
      <c r="F46" s="197">
        <v>10000</v>
      </c>
      <c r="G46" s="147">
        <v>10000</v>
      </c>
    </row>
    <row r="47" spans="1:7" x14ac:dyDescent="0.2">
      <c r="A47" s="136" t="s">
        <v>248</v>
      </c>
      <c r="B47" s="181" t="s">
        <v>148</v>
      </c>
      <c r="C47" s="172">
        <v>0</v>
      </c>
      <c r="D47" s="197">
        <v>0</v>
      </c>
      <c r="E47" s="166">
        <f t="shared" si="1"/>
        <v>10000</v>
      </c>
      <c r="F47" s="197">
        <v>10000</v>
      </c>
      <c r="G47" s="147">
        <v>10000</v>
      </c>
    </row>
    <row r="48" spans="1:7" x14ac:dyDescent="0.2">
      <c r="A48" s="136" t="s">
        <v>319</v>
      </c>
      <c r="B48" s="181"/>
      <c r="C48" s="172"/>
      <c r="D48" s="197"/>
      <c r="E48" s="166"/>
      <c r="F48" s="197"/>
      <c r="G48" s="147"/>
    </row>
    <row r="49" spans="1:7" x14ac:dyDescent="0.2">
      <c r="A49" s="136" t="s">
        <v>245</v>
      </c>
      <c r="B49" s="181" t="s">
        <v>115</v>
      </c>
      <c r="C49" s="172">
        <v>4500</v>
      </c>
      <c r="D49" s="197">
        <v>0</v>
      </c>
      <c r="E49" s="166">
        <f t="shared" si="1"/>
        <v>50000</v>
      </c>
      <c r="F49" s="197">
        <v>50000</v>
      </c>
      <c r="G49" s="147">
        <v>50000</v>
      </c>
    </row>
    <row r="50" spans="1:7" x14ac:dyDescent="0.2">
      <c r="A50" s="136" t="s">
        <v>47</v>
      </c>
      <c r="B50" s="181" t="s">
        <v>143</v>
      </c>
      <c r="C50" s="172">
        <v>80845.48</v>
      </c>
      <c r="D50" s="197">
        <v>8130</v>
      </c>
      <c r="E50" s="166">
        <f t="shared" si="1"/>
        <v>156870</v>
      </c>
      <c r="F50" s="197">
        <v>165000</v>
      </c>
      <c r="G50" s="147">
        <v>165000</v>
      </c>
    </row>
    <row r="51" spans="1:7" x14ac:dyDescent="0.2">
      <c r="A51" s="136" t="s">
        <v>12</v>
      </c>
      <c r="B51" s="181" t="s">
        <v>145</v>
      </c>
      <c r="C51" s="172">
        <v>318354.57</v>
      </c>
      <c r="D51" s="197">
        <v>142937.74</v>
      </c>
      <c r="E51" s="166">
        <f t="shared" si="1"/>
        <v>521712.26</v>
      </c>
      <c r="F51" s="197">
        <v>664650</v>
      </c>
      <c r="G51" s="147">
        <v>800000</v>
      </c>
    </row>
    <row r="52" spans="1:7" x14ac:dyDescent="0.2">
      <c r="A52" s="137" t="s">
        <v>21</v>
      </c>
      <c r="B52" s="181" t="s">
        <v>144</v>
      </c>
      <c r="C52" s="172">
        <v>0</v>
      </c>
      <c r="D52" s="197">
        <v>0</v>
      </c>
      <c r="E52" s="166">
        <v>0</v>
      </c>
      <c r="F52" s="197">
        <v>0</v>
      </c>
      <c r="G52" s="147">
        <v>24000</v>
      </c>
    </row>
    <row r="53" spans="1:7" x14ac:dyDescent="0.2">
      <c r="A53" s="136" t="s">
        <v>64</v>
      </c>
      <c r="B53" s="181" t="s">
        <v>137</v>
      </c>
      <c r="C53" s="167">
        <v>0</v>
      </c>
      <c r="D53" s="193">
        <v>0</v>
      </c>
      <c r="E53" s="166">
        <f t="shared" si="1"/>
        <v>15000</v>
      </c>
      <c r="F53" s="193">
        <v>15000</v>
      </c>
      <c r="G53" s="149">
        <v>30000</v>
      </c>
    </row>
    <row r="54" spans="1:7" ht="13.5" thickBot="1" x14ac:dyDescent="0.25">
      <c r="A54" s="136" t="s">
        <v>22</v>
      </c>
      <c r="B54" s="184" t="s">
        <v>116</v>
      </c>
      <c r="C54" s="274">
        <v>8000</v>
      </c>
      <c r="D54" s="277">
        <v>0</v>
      </c>
      <c r="E54" s="166">
        <f t="shared" si="1"/>
        <v>20000</v>
      </c>
      <c r="F54" s="352">
        <v>20000</v>
      </c>
      <c r="G54" s="314">
        <v>20000</v>
      </c>
    </row>
    <row r="55" spans="1:7" ht="11.25" customHeight="1" thickBot="1" x14ac:dyDescent="0.25">
      <c r="A55" s="5" t="s">
        <v>23</v>
      </c>
      <c r="B55" s="73"/>
      <c r="C55" s="54">
        <f>SUM(C38:C54)</f>
        <v>796842.05</v>
      </c>
      <c r="D55" s="51">
        <f>SUM(D38:D54)</f>
        <v>480119.74</v>
      </c>
      <c r="E55" s="54">
        <f>SUM(E38:E54)</f>
        <v>1647530.26</v>
      </c>
      <c r="F55" s="390">
        <f>SUM(F38:F54)</f>
        <v>2127650</v>
      </c>
      <c r="G55" s="66">
        <f>SUM(G38:G54)</f>
        <v>2882000</v>
      </c>
    </row>
    <row r="56" spans="1:7" x14ac:dyDescent="0.2">
      <c r="A56" s="163" t="s">
        <v>9</v>
      </c>
      <c r="B56" s="183"/>
      <c r="C56" s="302"/>
      <c r="D56" s="305"/>
      <c r="E56" s="302"/>
      <c r="F56" s="305"/>
      <c r="G56" s="312"/>
    </row>
    <row r="57" spans="1:7" x14ac:dyDescent="0.2">
      <c r="A57" s="318" t="s">
        <v>52</v>
      </c>
      <c r="B57" s="181" t="s">
        <v>117</v>
      </c>
      <c r="C57" s="177">
        <v>0</v>
      </c>
      <c r="D57" s="322">
        <v>220000</v>
      </c>
      <c r="E57" s="166">
        <f>F57-D57</f>
        <v>120000</v>
      </c>
      <c r="F57" s="322">
        <v>340000</v>
      </c>
      <c r="G57" s="322">
        <v>0</v>
      </c>
    </row>
    <row r="58" spans="1:7" x14ac:dyDescent="0.2">
      <c r="A58" s="318" t="s">
        <v>209</v>
      </c>
      <c r="B58" s="181"/>
      <c r="C58" s="177"/>
      <c r="D58" s="198"/>
      <c r="E58" s="166"/>
      <c r="F58" s="199"/>
      <c r="G58" s="148"/>
    </row>
    <row r="59" spans="1:7" x14ac:dyDescent="0.2">
      <c r="A59" s="137" t="s">
        <v>230</v>
      </c>
      <c r="B59" s="181" t="s">
        <v>125</v>
      </c>
      <c r="C59" s="177">
        <v>50000</v>
      </c>
      <c r="D59" s="198">
        <v>80000</v>
      </c>
      <c r="E59" s="166">
        <f>F59-D59</f>
        <v>55000</v>
      </c>
      <c r="F59" s="199">
        <v>135000</v>
      </c>
      <c r="G59" s="148">
        <v>70000</v>
      </c>
    </row>
    <row r="60" spans="1:7" x14ac:dyDescent="0.2">
      <c r="A60" s="136" t="s">
        <v>79</v>
      </c>
      <c r="B60" s="181" t="s">
        <v>118</v>
      </c>
      <c r="C60" s="323">
        <v>0</v>
      </c>
      <c r="D60" s="322">
        <v>0</v>
      </c>
      <c r="E60" s="166">
        <f>F60-D60</f>
        <v>0</v>
      </c>
      <c r="F60" s="322">
        <v>0</v>
      </c>
      <c r="G60" s="320">
        <v>0</v>
      </c>
    </row>
    <row r="61" spans="1:7" ht="13.5" thickBot="1" x14ac:dyDescent="0.25">
      <c r="A61" s="136" t="s">
        <v>246</v>
      </c>
      <c r="B61" s="186" t="s">
        <v>119</v>
      </c>
      <c r="C61" s="304">
        <v>130000</v>
      </c>
      <c r="D61" s="307">
        <v>0</v>
      </c>
      <c r="E61" s="166">
        <f>F61-D61</f>
        <v>0</v>
      </c>
      <c r="F61" s="307">
        <v>0</v>
      </c>
      <c r="G61" s="148">
        <v>0</v>
      </c>
    </row>
    <row r="62" spans="1:7" ht="12" customHeight="1" thickBot="1" x14ac:dyDescent="0.25">
      <c r="A62" s="12" t="s">
        <v>77</v>
      </c>
      <c r="B62" s="80"/>
      <c r="C62" s="78">
        <f>SUM(C57:C61)</f>
        <v>180000</v>
      </c>
      <c r="D62" s="53">
        <f>SUM(D57:D61)</f>
        <v>300000</v>
      </c>
      <c r="E62" s="78">
        <f>SUM(E57:E61)</f>
        <v>175000</v>
      </c>
      <c r="F62" s="53">
        <f>SUM(F57:F61)</f>
        <v>475000</v>
      </c>
      <c r="G62" s="77">
        <f>SUM(G58:G61)</f>
        <v>70000</v>
      </c>
    </row>
    <row r="63" spans="1:7" ht="11.25" customHeight="1" thickBot="1" x14ac:dyDescent="0.25">
      <c r="A63" s="5" t="s">
        <v>53</v>
      </c>
      <c r="B63" s="11"/>
      <c r="C63" s="54">
        <f>C55+C36+C62</f>
        <v>2183875.46</v>
      </c>
      <c r="D63" s="51">
        <f>D55+D36+D62</f>
        <v>1784804.13</v>
      </c>
      <c r="E63" s="66">
        <f>E55+E36+E62</f>
        <v>3367345.8699999996</v>
      </c>
      <c r="F63" s="51">
        <f>F55+F36+F62</f>
        <v>5152150</v>
      </c>
      <c r="G63" s="51">
        <f>G36+G55+G62</f>
        <v>5502000</v>
      </c>
    </row>
    <row r="64" spans="1:7" ht="0.75" customHeight="1" x14ac:dyDescent="0.2">
      <c r="A64" s="18"/>
      <c r="B64" s="19"/>
      <c r="C64" s="33"/>
      <c r="D64" s="33"/>
      <c r="E64" s="33"/>
      <c r="F64" s="20"/>
      <c r="G64" s="20"/>
    </row>
    <row r="65" spans="1:7" x14ac:dyDescent="0.2">
      <c r="A65" s="8"/>
      <c r="B65" s="25"/>
      <c r="C65" s="25"/>
      <c r="D65" s="25"/>
      <c r="E65" s="25"/>
      <c r="F65" s="25"/>
      <c r="G65" s="27"/>
    </row>
    <row r="66" spans="1:7" x14ac:dyDescent="0.2">
      <c r="A66" s="22" t="s">
        <v>223</v>
      </c>
      <c r="B66" s="22" t="s">
        <v>172</v>
      </c>
      <c r="C66" s="22"/>
      <c r="D66" s="15"/>
      <c r="E66" s="527" t="s">
        <v>16</v>
      </c>
      <c r="F66" s="527"/>
      <c r="G66" s="8"/>
    </row>
    <row r="67" spans="1:7" x14ac:dyDescent="0.2">
      <c r="A67" s="22"/>
      <c r="B67" s="22"/>
      <c r="C67" s="22"/>
      <c r="D67" s="15"/>
      <c r="E67" s="371"/>
      <c r="F67" s="371"/>
      <c r="G67" s="8"/>
    </row>
    <row r="68" spans="1:7" ht="15" customHeight="1" x14ac:dyDescent="0.2">
      <c r="A68" s="8"/>
      <c r="B68" s="15"/>
      <c r="C68" s="15"/>
      <c r="D68" s="15"/>
      <c r="E68" s="15"/>
      <c r="F68" s="15"/>
      <c r="G68" s="15"/>
    </row>
    <row r="69" spans="1:7" x14ac:dyDescent="0.2">
      <c r="A69" s="125" t="s">
        <v>306</v>
      </c>
      <c r="B69" s="528" t="s">
        <v>259</v>
      </c>
      <c r="C69" s="528"/>
      <c r="D69" s="528"/>
      <c r="E69" s="23"/>
      <c r="F69" s="529" t="s">
        <v>271</v>
      </c>
      <c r="G69" s="529"/>
    </row>
    <row r="70" spans="1:7" x14ac:dyDescent="0.2">
      <c r="A70" s="124" t="s">
        <v>332</v>
      </c>
      <c r="B70" s="518" t="s">
        <v>270</v>
      </c>
      <c r="C70" s="518"/>
      <c r="D70" s="518"/>
      <c r="E70" s="15"/>
      <c r="F70" s="519" t="s">
        <v>51</v>
      </c>
      <c r="G70" s="519"/>
    </row>
    <row r="71" spans="1:7" x14ac:dyDescent="0.2">
      <c r="A71" s="8"/>
      <c r="B71" s="113"/>
      <c r="C71" s="113"/>
      <c r="D71" s="113"/>
      <c r="E71" s="34"/>
      <c r="F71" s="34"/>
      <c r="G71" s="34"/>
    </row>
    <row r="72" spans="1:7" x14ac:dyDescent="0.2">
      <c r="A72" s="8"/>
      <c r="B72" s="31"/>
      <c r="C72" s="34"/>
      <c r="D72" s="34"/>
      <c r="E72" s="34"/>
      <c r="F72" s="34"/>
      <c r="G72" s="34"/>
    </row>
    <row r="73" spans="1:7" x14ac:dyDescent="0.2">
      <c r="A73" s="8"/>
      <c r="B73" s="31"/>
      <c r="C73" s="34"/>
      <c r="D73" s="34"/>
      <c r="E73" s="34"/>
      <c r="F73" s="34"/>
      <c r="G73" s="6"/>
    </row>
    <row r="74" spans="1:7" x14ac:dyDescent="0.2">
      <c r="A74" s="8"/>
      <c r="B74" s="31"/>
      <c r="C74" s="34"/>
      <c r="D74" s="34"/>
      <c r="E74" s="34"/>
      <c r="F74" s="34"/>
      <c r="G74" s="6"/>
    </row>
    <row r="75" spans="1:7" x14ac:dyDescent="0.2">
      <c r="A75" s="8"/>
      <c r="B75" s="31"/>
      <c r="C75" s="34"/>
      <c r="D75" s="34"/>
      <c r="E75" s="34"/>
      <c r="F75" s="34"/>
      <c r="G75" s="34"/>
    </row>
    <row r="76" spans="1:7" x14ac:dyDescent="0.2">
      <c r="A76" s="14"/>
    </row>
    <row r="78" spans="1:7" ht="16.5" x14ac:dyDescent="0.2">
      <c r="A78" s="544"/>
      <c r="B78" s="544"/>
      <c r="C78" s="544"/>
      <c r="D78" s="544"/>
      <c r="E78" s="544"/>
      <c r="F78" s="544"/>
      <c r="G78" s="544"/>
    </row>
    <row r="79" spans="1:7" ht="16.5" x14ac:dyDescent="0.2">
      <c r="A79" s="543"/>
      <c r="B79" s="543"/>
      <c r="C79" s="543"/>
      <c r="D79" s="543"/>
      <c r="E79" s="543"/>
      <c r="F79" s="543"/>
      <c r="G79" s="543"/>
    </row>
    <row r="80" spans="1:7" x14ac:dyDescent="0.2">
      <c r="A80" s="4"/>
      <c r="B80" s="35"/>
      <c r="C80" s="35"/>
      <c r="D80" s="35"/>
      <c r="E80" s="35"/>
      <c r="F80" s="35"/>
      <c r="G80" s="35"/>
    </row>
    <row r="81" spans="1:7" x14ac:dyDescent="0.2">
      <c r="A81" s="4"/>
      <c r="B81" s="36"/>
      <c r="C81" s="36"/>
      <c r="D81" s="36"/>
      <c r="E81" s="36"/>
      <c r="F81" s="36"/>
      <c r="G81" s="36"/>
    </row>
    <row r="82" spans="1:7" x14ac:dyDescent="0.2">
      <c r="A82" s="4"/>
      <c r="B82" s="35"/>
      <c r="C82" s="35"/>
      <c r="D82" s="35"/>
      <c r="E82" s="35"/>
      <c r="F82" s="35"/>
      <c r="G82" s="35"/>
    </row>
  </sheetData>
  <mergeCells count="12">
    <mergeCell ref="F12:F13"/>
    <mergeCell ref="B69:D69"/>
    <mergeCell ref="B70:D70"/>
    <mergeCell ref="E66:F66"/>
    <mergeCell ref="A6:G6"/>
    <mergeCell ref="E9:F9"/>
    <mergeCell ref="A79:G79"/>
    <mergeCell ref="F70:G70"/>
    <mergeCell ref="F69:G69"/>
    <mergeCell ref="A78:G78"/>
    <mergeCell ref="A11:A13"/>
    <mergeCell ref="D11:F11"/>
  </mergeCells>
  <phoneticPr fontId="0" type="noConversion"/>
  <pageMargins left="0.23622047244094491" right="7.874015748031496E-2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G67"/>
  <sheetViews>
    <sheetView tabSelected="1" view="pageBreakPreview" topLeftCell="A37" zoomScale="98" zoomScaleNormal="100" zoomScaleSheetLayoutView="98" workbookViewId="0">
      <selection activeCell="D17" sqref="D17"/>
    </sheetView>
  </sheetViews>
  <sheetFormatPr defaultColWidth="9.28515625" defaultRowHeight="12.75" x14ac:dyDescent="0.2"/>
  <cols>
    <col min="1" max="1" width="36.28515625" style="15" customWidth="1"/>
    <col min="2" max="2" width="11" style="28" customWidth="1"/>
    <col min="3" max="3" width="20.28515625" style="28" customWidth="1"/>
    <col min="4" max="4" width="25.28515625" style="28" customWidth="1"/>
    <col min="5" max="5" width="12.140625" style="28" customWidth="1"/>
    <col min="6" max="6" width="11.85546875" style="28" customWidth="1"/>
    <col min="7" max="7" width="11.7109375" style="28" customWidth="1"/>
    <col min="8" max="16384" width="9.28515625" style="3"/>
  </cols>
  <sheetData>
    <row r="1" spans="1:7" x14ac:dyDescent="0.2">
      <c r="A1" s="478" t="s">
        <v>344</v>
      </c>
      <c r="B1" s="471"/>
      <c r="C1" s="471"/>
      <c r="D1" s="471"/>
      <c r="E1" s="471"/>
      <c r="F1" s="471"/>
      <c r="G1" s="471"/>
    </row>
    <row r="2" spans="1:7" x14ac:dyDescent="0.2">
      <c r="A2" s="478" t="s">
        <v>345</v>
      </c>
      <c r="B2" s="479"/>
      <c r="C2" s="479"/>
      <c r="D2" s="479"/>
      <c r="E2" s="479"/>
      <c r="F2" s="479"/>
      <c r="G2" s="479"/>
    </row>
    <row r="3" spans="1:7" x14ac:dyDescent="0.2">
      <c r="A3" s="480" t="s">
        <v>346</v>
      </c>
      <c r="B3" s="479"/>
      <c r="C3" s="479"/>
      <c r="D3" s="479"/>
      <c r="E3" s="479"/>
      <c r="F3" s="479"/>
      <c r="G3" s="479"/>
    </row>
    <row r="4" spans="1:7" x14ac:dyDescent="0.2">
      <c r="A4" s="474"/>
      <c r="B4" s="474"/>
      <c r="C4" s="474"/>
      <c r="D4" s="474"/>
      <c r="E4" s="474"/>
      <c r="F4" s="474"/>
      <c r="G4" s="474"/>
    </row>
    <row r="5" spans="1:7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7" ht="15" x14ac:dyDescent="0.25">
      <c r="A6" s="481"/>
      <c r="B6" s="481"/>
      <c r="C6" s="481"/>
      <c r="D6" s="481"/>
      <c r="E6" s="481"/>
      <c r="F6" s="481"/>
      <c r="G6" s="481"/>
    </row>
    <row r="7" spans="1:7" ht="15" x14ac:dyDescent="0.2">
      <c r="A7" s="490" t="s">
        <v>348</v>
      </c>
      <c r="B7" s="494" t="s">
        <v>349</v>
      </c>
      <c r="C7" s="495"/>
      <c r="D7" s="490" t="s">
        <v>350</v>
      </c>
      <c r="E7" s="494">
        <v>2024</v>
      </c>
      <c r="F7" s="511"/>
      <c r="G7" s="511"/>
    </row>
    <row r="8" spans="1:7" ht="36.75" customHeight="1" x14ac:dyDescent="0.2">
      <c r="A8" s="491" t="s">
        <v>351</v>
      </c>
      <c r="B8" s="496" t="s">
        <v>352</v>
      </c>
      <c r="C8" s="497"/>
      <c r="D8" s="541" t="s">
        <v>368</v>
      </c>
      <c r="E8" s="541"/>
      <c r="F8" s="541"/>
      <c r="G8" s="477"/>
    </row>
    <row r="9" spans="1:7" ht="13.5" thickBot="1" x14ac:dyDescent="0.25">
      <c r="A9" s="491" t="s">
        <v>354</v>
      </c>
      <c r="B9" s="496" t="s">
        <v>355</v>
      </c>
      <c r="C9" s="497"/>
      <c r="D9" s="497"/>
      <c r="E9" s="497"/>
      <c r="F9" s="477"/>
      <c r="G9" s="477"/>
    </row>
    <row r="10" spans="1:7" ht="13.5" thickBot="1" x14ac:dyDescent="0.25">
      <c r="A10" s="520" t="s">
        <v>27</v>
      </c>
      <c r="B10" s="179" t="s">
        <v>15</v>
      </c>
      <c r="C10" s="131" t="s">
        <v>1</v>
      </c>
      <c r="D10" s="522" t="s">
        <v>329</v>
      </c>
      <c r="E10" s="523"/>
      <c r="F10" s="524"/>
      <c r="G10" s="132" t="s">
        <v>3</v>
      </c>
    </row>
    <row r="11" spans="1:7" x14ac:dyDescent="0.2">
      <c r="A11" s="521"/>
      <c r="B11" s="157" t="s">
        <v>0</v>
      </c>
      <c r="C11" s="130">
        <v>2022</v>
      </c>
      <c r="D11" s="156" t="s">
        <v>167</v>
      </c>
      <c r="E11" s="245" t="s">
        <v>168</v>
      </c>
      <c r="F11" s="525" t="s">
        <v>169</v>
      </c>
      <c r="G11" s="133">
        <v>2024</v>
      </c>
    </row>
    <row r="12" spans="1:7" x14ac:dyDescent="0.2">
      <c r="A12" s="521"/>
      <c r="B12" s="180"/>
      <c r="C12" s="130" t="s">
        <v>2</v>
      </c>
      <c r="D12" s="157" t="s">
        <v>2</v>
      </c>
      <c r="E12" s="130" t="s">
        <v>183</v>
      </c>
      <c r="F12" s="526"/>
      <c r="G12" s="133" t="s">
        <v>33</v>
      </c>
    </row>
    <row r="13" spans="1:7" ht="13.5" thickBot="1" x14ac:dyDescent="0.25">
      <c r="A13" s="138" t="s">
        <v>28</v>
      </c>
      <c r="B13" s="158" t="s">
        <v>29</v>
      </c>
      <c r="C13" s="139" t="s">
        <v>30</v>
      </c>
      <c r="D13" s="158" t="s">
        <v>31</v>
      </c>
      <c r="E13" s="139" t="s">
        <v>32</v>
      </c>
      <c r="F13" s="158" t="s">
        <v>170</v>
      </c>
      <c r="G13" s="140" t="s">
        <v>171</v>
      </c>
    </row>
    <row r="14" spans="1:7" x14ac:dyDescent="0.2">
      <c r="A14" s="163" t="s">
        <v>4</v>
      </c>
      <c r="B14" s="339"/>
      <c r="C14" s="47"/>
      <c r="D14" s="339"/>
      <c r="E14" s="47"/>
      <c r="F14" s="339"/>
      <c r="G14" s="335"/>
    </row>
    <row r="15" spans="1:7" x14ac:dyDescent="0.2">
      <c r="A15" s="163" t="s">
        <v>5</v>
      </c>
      <c r="B15" s="364"/>
      <c r="C15" s="47"/>
      <c r="D15" s="340"/>
      <c r="E15" s="353"/>
      <c r="F15" s="339"/>
      <c r="G15" s="335"/>
    </row>
    <row r="16" spans="1:7" x14ac:dyDescent="0.2">
      <c r="A16" s="136" t="s">
        <v>46</v>
      </c>
      <c r="B16" s="181" t="s">
        <v>100</v>
      </c>
      <c r="C16" s="177">
        <v>1045558.43</v>
      </c>
      <c r="D16" s="198">
        <v>577800</v>
      </c>
      <c r="E16" s="166">
        <f>F16-D16</f>
        <v>578200</v>
      </c>
      <c r="F16" s="378">
        <v>1156000</v>
      </c>
      <c r="G16" s="143">
        <f>1162000-4000</f>
        <v>1158000</v>
      </c>
    </row>
    <row r="17" spans="1:7" x14ac:dyDescent="0.2">
      <c r="A17" s="136" t="s">
        <v>193</v>
      </c>
      <c r="B17" s="181" t="s">
        <v>101</v>
      </c>
      <c r="C17" s="177">
        <v>96000</v>
      </c>
      <c r="D17" s="198">
        <v>48000</v>
      </c>
      <c r="E17" s="166">
        <f t="shared" ref="E17:E33" si="0">F17-D17</f>
        <v>48000</v>
      </c>
      <c r="F17" s="378">
        <v>96000</v>
      </c>
      <c r="G17" s="143">
        <v>96000</v>
      </c>
    </row>
    <row r="18" spans="1:7" x14ac:dyDescent="0.2">
      <c r="A18" s="136" t="s">
        <v>42</v>
      </c>
      <c r="B18" s="181" t="s">
        <v>102</v>
      </c>
      <c r="C18" s="177">
        <v>18000</v>
      </c>
      <c r="D18" s="198">
        <v>24000</v>
      </c>
      <c r="E18" s="166">
        <f t="shared" si="0"/>
        <v>0</v>
      </c>
      <c r="F18" s="378">
        <v>24000</v>
      </c>
      <c r="G18" s="143">
        <v>24000</v>
      </c>
    </row>
    <row r="19" spans="1:7" x14ac:dyDescent="0.2">
      <c r="A19" s="136" t="s">
        <v>182</v>
      </c>
      <c r="B19" s="181" t="s">
        <v>158</v>
      </c>
      <c r="C19" s="168">
        <v>0</v>
      </c>
      <c r="D19" s="198">
        <v>0</v>
      </c>
      <c r="E19" s="166">
        <f t="shared" si="0"/>
        <v>0</v>
      </c>
      <c r="F19" s="198">
        <v>0</v>
      </c>
      <c r="G19" s="198">
        <v>0</v>
      </c>
    </row>
    <row r="20" spans="1:7" x14ac:dyDescent="0.2">
      <c r="A20" s="136" t="s">
        <v>94</v>
      </c>
      <c r="B20" s="181" t="s">
        <v>104</v>
      </c>
      <c r="C20" s="177">
        <v>75641.5</v>
      </c>
      <c r="D20" s="198">
        <v>0</v>
      </c>
      <c r="E20" s="166">
        <f t="shared" si="0"/>
        <v>96500</v>
      </c>
      <c r="F20" s="378">
        <v>96500</v>
      </c>
      <c r="G20" s="143">
        <v>97000</v>
      </c>
    </row>
    <row r="21" spans="1:7" x14ac:dyDescent="0.2">
      <c r="A21" s="136" t="s">
        <v>150</v>
      </c>
      <c r="B21" s="181" t="s">
        <v>127</v>
      </c>
      <c r="C21" s="177">
        <v>75641.5</v>
      </c>
      <c r="D21" s="198">
        <v>96300</v>
      </c>
      <c r="E21" s="166">
        <f t="shared" si="0"/>
        <v>200</v>
      </c>
      <c r="F21" s="378">
        <v>96500</v>
      </c>
      <c r="G21" s="143">
        <v>97000</v>
      </c>
    </row>
    <row r="22" spans="1:7" x14ac:dyDescent="0.2">
      <c r="A22" s="136" t="s">
        <v>10</v>
      </c>
      <c r="B22" s="181" t="s">
        <v>103</v>
      </c>
      <c r="C22" s="177">
        <v>17000</v>
      </c>
      <c r="D22" s="198">
        <v>0</v>
      </c>
      <c r="E22" s="166">
        <f t="shared" si="0"/>
        <v>20000</v>
      </c>
      <c r="F22" s="378">
        <v>20000</v>
      </c>
      <c r="G22" s="143">
        <v>20000</v>
      </c>
    </row>
    <row r="23" spans="1:7" x14ac:dyDescent="0.2">
      <c r="A23" s="136" t="s">
        <v>160</v>
      </c>
      <c r="B23" s="181" t="s">
        <v>105</v>
      </c>
      <c r="C23" s="177">
        <v>119795.92</v>
      </c>
      <c r="D23" s="198">
        <v>69336</v>
      </c>
      <c r="E23" s="166">
        <f t="shared" si="0"/>
        <v>69664</v>
      </c>
      <c r="F23" s="378">
        <v>139000</v>
      </c>
      <c r="G23" s="143">
        <v>140000</v>
      </c>
    </row>
    <row r="24" spans="1:7" x14ac:dyDescent="0.2">
      <c r="A24" s="136" t="s">
        <v>57</v>
      </c>
      <c r="B24" s="181" t="s">
        <v>106</v>
      </c>
      <c r="C24" s="177">
        <v>21718.62</v>
      </c>
      <c r="D24" s="198">
        <v>11556</v>
      </c>
      <c r="E24" s="166">
        <f t="shared" si="0"/>
        <v>11944</v>
      </c>
      <c r="F24" s="378">
        <v>23500</v>
      </c>
      <c r="G24" s="143">
        <v>24000</v>
      </c>
    </row>
    <row r="25" spans="1:7" x14ac:dyDescent="0.2">
      <c r="A25" s="136" t="s">
        <v>58</v>
      </c>
      <c r="B25" s="181" t="s">
        <v>107</v>
      </c>
      <c r="C25" s="177">
        <v>22673.49</v>
      </c>
      <c r="D25" s="198">
        <v>11556</v>
      </c>
      <c r="E25" s="166">
        <f t="shared" si="0"/>
        <v>14944</v>
      </c>
      <c r="F25" s="378">
        <v>26500</v>
      </c>
      <c r="G25" s="143">
        <v>30000</v>
      </c>
    </row>
    <row r="26" spans="1:7" x14ac:dyDescent="0.2">
      <c r="A26" s="136" t="s">
        <v>188</v>
      </c>
      <c r="B26" s="181"/>
      <c r="C26" s="177"/>
      <c r="D26" s="198"/>
      <c r="E26" s="166"/>
      <c r="F26" s="378"/>
      <c r="G26" s="143"/>
    </row>
    <row r="27" spans="1:7" x14ac:dyDescent="0.2">
      <c r="A27" s="136" t="s">
        <v>243</v>
      </c>
      <c r="B27" s="181" t="s">
        <v>108</v>
      </c>
      <c r="C27" s="177">
        <v>4200</v>
      </c>
      <c r="D27" s="198">
        <v>2400</v>
      </c>
      <c r="E27" s="166">
        <f t="shared" si="0"/>
        <v>2400</v>
      </c>
      <c r="F27" s="378">
        <v>4800</v>
      </c>
      <c r="G27" s="143">
        <v>5000</v>
      </c>
    </row>
    <row r="28" spans="1:7" x14ac:dyDescent="0.2">
      <c r="A28" s="136" t="s">
        <v>45</v>
      </c>
      <c r="B28" s="181" t="s">
        <v>128</v>
      </c>
      <c r="C28" s="177">
        <v>70927.17</v>
      </c>
      <c r="D28" s="198">
        <v>0</v>
      </c>
      <c r="E28" s="166">
        <f t="shared" si="0"/>
        <v>100000</v>
      </c>
      <c r="F28" s="378">
        <v>100000</v>
      </c>
      <c r="G28" s="143">
        <f>97000+4000</f>
        <v>101000</v>
      </c>
    </row>
    <row r="29" spans="1:7" x14ac:dyDescent="0.2">
      <c r="A29" s="136" t="s">
        <v>60</v>
      </c>
      <c r="B29" s="181" t="s">
        <v>129</v>
      </c>
      <c r="C29" s="177">
        <v>20000</v>
      </c>
      <c r="D29" s="198">
        <v>0</v>
      </c>
      <c r="E29" s="166">
        <f t="shared" si="0"/>
        <v>20000</v>
      </c>
      <c r="F29" s="378">
        <v>20000</v>
      </c>
      <c r="G29" s="143">
        <v>20000</v>
      </c>
    </row>
    <row r="30" spans="1:7" x14ac:dyDescent="0.2">
      <c r="A30" s="137" t="s">
        <v>59</v>
      </c>
      <c r="B30" s="181" t="s">
        <v>130</v>
      </c>
      <c r="C30" s="177">
        <v>0</v>
      </c>
      <c r="D30" s="198">
        <v>0</v>
      </c>
      <c r="E30" s="166">
        <f t="shared" si="0"/>
        <v>0</v>
      </c>
      <c r="F30" s="198">
        <v>0</v>
      </c>
      <c r="G30" s="427">
        <v>0</v>
      </c>
    </row>
    <row r="31" spans="1:7" x14ac:dyDescent="0.2">
      <c r="A31" s="137" t="s">
        <v>89</v>
      </c>
      <c r="B31" s="181" t="s">
        <v>131</v>
      </c>
      <c r="C31" s="177">
        <v>0</v>
      </c>
      <c r="D31" s="198">
        <v>0</v>
      </c>
      <c r="E31" s="166">
        <f t="shared" si="0"/>
        <v>0</v>
      </c>
      <c r="F31" s="198">
        <v>0</v>
      </c>
      <c r="G31" s="437">
        <v>0</v>
      </c>
    </row>
    <row r="32" spans="1:7" x14ac:dyDescent="0.2">
      <c r="A32" s="137" t="s">
        <v>260</v>
      </c>
      <c r="B32" s="184" t="s">
        <v>261</v>
      </c>
      <c r="C32" s="169">
        <v>100000</v>
      </c>
      <c r="D32" s="200">
        <v>0</v>
      </c>
      <c r="E32" s="166">
        <f t="shared" si="0"/>
        <v>0</v>
      </c>
      <c r="F32" s="198">
        <v>0</v>
      </c>
      <c r="G32" s="430">
        <v>0</v>
      </c>
    </row>
    <row r="33" spans="1:7" ht="13.5" thickBot="1" x14ac:dyDescent="0.25">
      <c r="A33" s="164" t="s">
        <v>293</v>
      </c>
      <c r="B33" s="182" t="s">
        <v>292</v>
      </c>
      <c r="C33" s="170">
        <v>80000</v>
      </c>
      <c r="D33" s="295">
        <v>0</v>
      </c>
      <c r="E33" s="166">
        <f t="shared" si="0"/>
        <v>0</v>
      </c>
      <c r="F33" s="315">
        <v>0</v>
      </c>
      <c r="G33" s="429">
        <v>0</v>
      </c>
    </row>
    <row r="34" spans="1:7" ht="11.25" customHeight="1" thickBot="1" x14ac:dyDescent="0.25">
      <c r="A34" s="12" t="s">
        <v>75</v>
      </c>
      <c r="B34" s="72"/>
      <c r="C34" s="78">
        <f>SUM(C16:C33)</f>
        <v>1767156.6300000001</v>
      </c>
      <c r="D34" s="53">
        <f>SUM(D16:D33)</f>
        <v>840948</v>
      </c>
      <c r="E34" s="78">
        <f>SUM(E16:E33)</f>
        <v>961852</v>
      </c>
      <c r="F34" s="53">
        <f>SUM(F16:F33)</f>
        <v>1802800</v>
      </c>
      <c r="G34" s="77">
        <f>SUM(G16:G33)</f>
        <v>1812000</v>
      </c>
    </row>
    <row r="35" spans="1:7" x14ac:dyDescent="0.2">
      <c r="A35" s="163" t="s">
        <v>19</v>
      </c>
      <c r="B35" s="183"/>
      <c r="C35" s="360"/>
      <c r="D35" s="356"/>
      <c r="E35" s="275"/>
      <c r="F35" s="212"/>
      <c r="G35" s="207"/>
    </row>
    <row r="36" spans="1:7" x14ac:dyDescent="0.2">
      <c r="A36" s="137" t="s">
        <v>8</v>
      </c>
      <c r="B36" s="181" t="s">
        <v>109</v>
      </c>
      <c r="C36" s="177">
        <v>72247</v>
      </c>
      <c r="D36" s="198">
        <v>21000</v>
      </c>
      <c r="E36" s="166">
        <f>F36-D36</f>
        <v>79000</v>
      </c>
      <c r="F36" s="197">
        <v>100000</v>
      </c>
      <c r="G36" s="147">
        <v>100000</v>
      </c>
    </row>
    <row r="37" spans="1:7" x14ac:dyDescent="0.2">
      <c r="A37" s="137" t="s">
        <v>281</v>
      </c>
      <c r="B37" s="181" t="s">
        <v>110</v>
      </c>
      <c r="C37" s="177">
        <v>15645</v>
      </c>
      <c r="D37" s="198">
        <v>6000</v>
      </c>
      <c r="E37" s="166">
        <f t="shared" ref="E37:E50" si="1">F37-D37</f>
        <v>44000</v>
      </c>
      <c r="F37" s="197">
        <v>50000</v>
      </c>
      <c r="G37" s="147">
        <v>50000</v>
      </c>
    </row>
    <row r="38" spans="1:7" x14ac:dyDescent="0.2">
      <c r="A38" s="137" t="s">
        <v>13</v>
      </c>
      <c r="B38" s="181" t="s">
        <v>111</v>
      </c>
      <c r="C38" s="177">
        <v>48000</v>
      </c>
      <c r="D38" s="198">
        <v>28803</v>
      </c>
      <c r="E38" s="166">
        <f t="shared" si="1"/>
        <v>36197</v>
      </c>
      <c r="F38" s="197">
        <v>65000</v>
      </c>
      <c r="G38" s="147">
        <v>65000</v>
      </c>
    </row>
    <row r="39" spans="1:7" x14ac:dyDescent="0.2">
      <c r="A39" s="136" t="s">
        <v>163</v>
      </c>
      <c r="B39" s="181" t="s">
        <v>122</v>
      </c>
      <c r="C39" s="177">
        <v>64890</v>
      </c>
      <c r="D39" s="198">
        <v>45850</v>
      </c>
      <c r="E39" s="166">
        <f t="shared" si="1"/>
        <v>129150</v>
      </c>
      <c r="F39" s="197">
        <v>175000</v>
      </c>
      <c r="G39" s="147">
        <v>210000</v>
      </c>
    </row>
    <row r="40" spans="1:7" x14ac:dyDescent="0.2">
      <c r="A40" s="136" t="s">
        <v>164</v>
      </c>
      <c r="B40" s="181" t="s">
        <v>112</v>
      </c>
      <c r="C40" s="177">
        <v>48990</v>
      </c>
      <c r="D40" s="198">
        <v>45083</v>
      </c>
      <c r="E40" s="166">
        <f t="shared" si="1"/>
        <v>54917</v>
      </c>
      <c r="F40" s="197">
        <v>100000</v>
      </c>
      <c r="G40" s="147">
        <v>100000</v>
      </c>
    </row>
    <row r="41" spans="1:7" x14ac:dyDescent="0.2">
      <c r="A41" s="136" t="s">
        <v>265</v>
      </c>
      <c r="B41" s="181" t="s">
        <v>135</v>
      </c>
      <c r="C41" s="177">
        <v>9995.0300000000007</v>
      </c>
      <c r="D41" s="198">
        <v>0</v>
      </c>
      <c r="E41" s="166">
        <f t="shared" si="1"/>
        <v>15000</v>
      </c>
      <c r="F41" s="197">
        <v>15000</v>
      </c>
      <c r="G41" s="147">
        <v>15000</v>
      </c>
    </row>
    <row r="42" spans="1:7" x14ac:dyDescent="0.2">
      <c r="A42" s="136" t="s">
        <v>166</v>
      </c>
      <c r="B42" s="181" t="s">
        <v>114</v>
      </c>
      <c r="C42" s="177">
        <v>38961.480000000003</v>
      </c>
      <c r="D42" s="198">
        <v>11875.5</v>
      </c>
      <c r="E42" s="166">
        <f t="shared" si="1"/>
        <v>36124.5</v>
      </c>
      <c r="F42" s="197">
        <v>48000</v>
      </c>
      <c r="G42" s="147">
        <v>48000</v>
      </c>
    </row>
    <row r="43" spans="1:7" x14ac:dyDescent="0.2">
      <c r="A43" s="136" t="s">
        <v>247</v>
      </c>
      <c r="B43" s="181" t="s">
        <v>124</v>
      </c>
      <c r="C43" s="177">
        <v>0</v>
      </c>
      <c r="D43" s="198">
        <v>0</v>
      </c>
      <c r="E43" s="166">
        <f t="shared" si="1"/>
        <v>10000</v>
      </c>
      <c r="F43" s="197">
        <v>10000</v>
      </c>
      <c r="G43" s="147">
        <v>14000</v>
      </c>
    </row>
    <row r="44" spans="1:7" x14ac:dyDescent="0.2">
      <c r="A44" s="136" t="s">
        <v>248</v>
      </c>
      <c r="B44" s="181" t="s">
        <v>148</v>
      </c>
      <c r="C44" s="177">
        <v>34095</v>
      </c>
      <c r="D44" s="198">
        <v>0</v>
      </c>
      <c r="E44" s="166">
        <f t="shared" si="1"/>
        <v>100000</v>
      </c>
      <c r="F44" s="197">
        <v>100000</v>
      </c>
      <c r="G44" s="147">
        <v>150000</v>
      </c>
    </row>
    <row r="45" spans="1:7" x14ac:dyDescent="0.2">
      <c r="A45" s="136" t="s">
        <v>204</v>
      </c>
      <c r="B45" s="181"/>
      <c r="C45" s="177"/>
      <c r="D45" s="198"/>
      <c r="E45" s="166"/>
      <c r="F45" s="197"/>
      <c r="G45" s="147"/>
    </row>
    <row r="46" spans="1:7" x14ac:dyDescent="0.2">
      <c r="A46" s="136" t="s">
        <v>213</v>
      </c>
      <c r="B46" s="181" t="s">
        <v>115</v>
      </c>
      <c r="C46" s="177">
        <v>0</v>
      </c>
      <c r="D46" s="198">
        <v>0</v>
      </c>
      <c r="E46" s="166">
        <f t="shared" si="1"/>
        <v>4000</v>
      </c>
      <c r="F46" s="197">
        <v>4000</v>
      </c>
      <c r="G46" s="147">
        <v>0</v>
      </c>
    </row>
    <row r="47" spans="1:7" x14ac:dyDescent="0.2">
      <c r="A47" s="136" t="s">
        <v>64</v>
      </c>
      <c r="B47" s="181" t="s">
        <v>137</v>
      </c>
      <c r="C47" s="167">
        <v>30000</v>
      </c>
      <c r="D47" s="193">
        <v>15400</v>
      </c>
      <c r="E47" s="166">
        <f t="shared" si="1"/>
        <v>14600</v>
      </c>
      <c r="F47" s="197">
        <v>30000</v>
      </c>
      <c r="G47" s="147">
        <v>30000</v>
      </c>
    </row>
    <row r="48" spans="1:7" x14ac:dyDescent="0.2">
      <c r="A48" s="136" t="s">
        <v>221</v>
      </c>
      <c r="B48" s="181"/>
      <c r="C48" s="177"/>
      <c r="D48" s="198"/>
      <c r="E48" s="166"/>
      <c r="F48" s="193"/>
      <c r="G48" s="149"/>
    </row>
    <row r="49" spans="1:7" x14ac:dyDescent="0.2">
      <c r="A49" s="136" t="s">
        <v>222</v>
      </c>
      <c r="B49" s="181" t="s">
        <v>159</v>
      </c>
      <c r="C49" s="177">
        <v>0</v>
      </c>
      <c r="D49" s="198">
        <v>0</v>
      </c>
      <c r="E49" s="166">
        <f t="shared" si="1"/>
        <v>14000</v>
      </c>
      <c r="F49" s="193">
        <v>14000</v>
      </c>
      <c r="G49" s="149">
        <v>14000</v>
      </c>
    </row>
    <row r="50" spans="1:7" ht="13.5" thickBot="1" x14ac:dyDescent="0.25">
      <c r="A50" s="205" t="s">
        <v>18</v>
      </c>
      <c r="B50" s="184" t="s">
        <v>116</v>
      </c>
      <c r="C50" s="178">
        <v>18854.349999999999</v>
      </c>
      <c r="D50" s="341">
        <v>10443</v>
      </c>
      <c r="E50" s="166">
        <f t="shared" si="1"/>
        <v>12382</v>
      </c>
      <c r="F50" s="197">
        <v>22825</v>
      </c>
      <c r="G50" s="147">
        <v>25000</v>
      </c>
    </row>
    <row r="51" spans="1:7" ht="11.25" customHeight="1" thickBot="1" x14ac:dyDescent="0.25">
      <c r="A51" s="12" t="s">
        <v>76</v>
      </c>
      <c r="B51" s="72"/>
      <c r="C51" s="78">
        <f>SUM(C36:C50)</f>
        <v>381677.86</v>
      </c>
      <c r="D51" s="53">
        <f>SUM(D36:D50)</f>
        <v>184454.5</v>
      </c>
      <c r="E51" s="78">
        <f>SUM(E36:E50)</f>
        <v>549370.5</v>
      </c>
      <c r="F51" s="53">
        <f>SUM(F36:F50)</f>
        <v>733825</v>
      </c>
      <c r="G51" s="77">
        <f>SUM(G36:G50)</f>
        <v>821000</v>
      </c>
    </row>
    <row r="52" spans="1:7" x14ac:dyDescent="0.2">
      <c r="A52" s="163" t="s">
        <v>38</v>
      </c>
      <c r="B52" s="271"/>
      <c r="C52" s="361"/>
      <c r="D52" s="357"/>
      <c r="E52" s="354"/>
      <c r="F52" s="351"/>
      <c r="G52" s="348"/>
    </row>
    <row r="53" spans="1:7" x14ac:dyDescent="0.2">
      <c r="A53" s="136" t="s">
        <v>78</v>
      </c>
      <c r="B53" s="181" t="s">
        <v>117</v>
      </c>
      <c r="C53" s="177">
        <v>0</v>
      </c>
      <c r="D53" s="198">
        <v>0</v>
      </c>
      <c r="E53" s="166">
        <f>F53-D53</f>
        <v>0</v>
      </c>
      <c r="F53" s="197">
        <v>0</v>
      </c>
      <c r="G53" s="147">
        <v>0</v>
      </c>
    </row>
    <row r="54" spans="1:7" x14ac:dyDescent="0.2">
      <c r="A54" s="136" t="s">
        <v>249</v>
      </c>
      <c r="B54" s="365"/>
      <c r="C54" s="362"/>
      <c r="D54" s="198"/>
      <c r="E54" s="166"/>
      <c r="F54" s="197"/>
      <c r="G54" s="147"/>
    </row>
    <row r="55" spans="1:7" x14ac:dyDescent="0.2">
      <c r="A55" s="136" t="s">
        <v>250</v>
      </c>
      <c r="B55" s="181" t="s">
        <v>125</v>
      </c>
      <c r="C55" s="177">
        <v>45000</v>
      </c>
      <c r="D55" s="198">
        <v>60000</v>
      </c>
      <c r="E55" s="166">
        <f>F55-D55</f>
        <v>0</v>
      </c>
      <c r="F55" s="197">
        <v>60000</v>
      </c>
      <c r="G55" s="147">
        <v>55000</v>
      </c>
    </row>
    <row r="56" spans="1:7" x14ac:dyDescent="0.2">
      <c r="A56" s="136" t="s">
        <v>97</v>
      </c>
      <c r="B56" s="181" t="s">
        <v>118</v>
      </c>
      <c r="C56" s="177">
        <v>0</v>
      </c>
      <c r="D56" s="198">
        <v>0</v>
      </c>
      <c r="E56" s="166">
        <f>F56-D56</f>
        <v>0</v>
      </c>
      <c r="F56" s="197">
        <v>0</v>
      </c>
      <c r="G56" s="147">
        <v>0</v>
      </c>
    </row>
    <row r="57" spans="1:7" ht="13.5" thickBot="1" x14ac:dyDescent="0.25">
      <c r="A57" s="205" t="s">
        <v>258</v>
      </c>
      <c r="B57" s="224" t="s">
        <v>119</v>
      </c>
      <c r="C57" s="363">
        <v>0</v>
      </c>
      <c r="D57" s="358">
        <v>0</v>
      </c>
      <c r="E57" s="332">
        <f>F57-D57</f>
        <v>0</v>
      </c>
      <c r="F57" s="352">
        <v>0</v>
      </c>
      <c r="G57" s="349">
        <v>0</v>
      </c>
    </row>
    <row r="58" spans="1:7" ht="11.25" customHeight="1" thickBot="1" x14ac:dyDescent="0.25">
      <c r="A58" s="12" t="s">
        <v>85</v>
      </c>
      <c r="B58" s="72"/>
      <c r="C58" s="78">
        <f>SUM(C53:C57)</f>
        <v>45000</v>
      </c>
      <c r="D58" s="359">
        <f>SUM(D53:D57)</f>
        <v>60000</v>
      </c>
      <c r="E58" s="78">
        <f>SUM(E53:E57)</f>
        <v>0</v>
      </c>
      <c r="F58" s="53">
        <f>SUM(F53:F57)</f>
        <v>60000</v>
      </c>
      <c r="G58" s="77">
        <f>SUM(G53:G57)</f>
        <v>55000</v>
      </c>
    </row>
    <row r="59" spans="1:7" ht="11.25" customHeight="1" thickBot="1" x14ac:dyDescent="0.25">
      <c r="A59" s="92" t="s">
        <v>53</v>
      </c>
      <c r="B59" s="93"/>
      <c r="C59" s="347">
        <f>C58+C34+C51</f>
        <v>2193834.4900000002</v>
      </c>
      <c r="D59" s="51">
        <f>D58+D34+D51</f>
        <v>1085402.5</v>
      </c>
      <c r="E59" s="355">
        <f>E58+E34+E51</f>
        <v>1511222.5</v>
      </c>
      <c r="F59" s="412">
        <f>F58+F34+F51</f>
        <v>2596625</v>
      </c>
      <c r="G59" s="350">
        <f>G58+G34+G51</f>
        <v>2688000</v>
      </c>
    </row>
    <row r="60" spans="1:7" x14ac:dyDescent="0.2">
      <c r="A60" s="18"/>
      <c r="B60" s="8"/>
      <c r="C60" s="8"/>
      <c r="D60" s="8"/>
      <c r="E60" s="48"/>
      <c r="F60" s="49"/>
      <c r="G60" s="8"/>
    </row>
    <row r="61" spans="1:7" x14ac:dyDescent="0.2">
      <c r="A61" s="22" t="s">
        <v>242</v>
      </c>
      <c r="B61" s="22" t="s">
        <v>172</v>
      </c>
      <c r="C61" s="22"/>
      <c r="D61" s="15"/>
      <c r="E61" s="527" t="s">
        <v>16</v>
      </c>
      <c r="F61" s="527"/>
      <c r="G61" s="8"/>
    </row>
    <row r="62" spans="1:7" x14ac:dyDescent="0.2">
      <c r="A62" s="22"/>
      <c r="B62" s="22"/>
      <c r="C62" s="22"/>
      <c r="D62" s="15"/>
      <c r="E62" s="371"/>
      <c r="F62" s="371"/>
      <c r="G62" s="8"/>
    </row>
    <row r="63" spans="1:7" ht="17.25" customHeight="1" x14ac:dyDescent="0.2">
      <c r="B63" s="15"/>
      <c r="C63" s="15"/>
      <c r="D63" s="15"/>
      <c r="E63" s="15"/>
      <c r="F63" s="15"/>
      <c r="G63" s="15"/>
    </row>
    <row r="64" spans="1:7" x14ac:dyDescent="0.2">
      <c r="A64" s="16" t="s">
        <v>96</v>
      </c>
      <c r="B64" s="528" t="s">
        <v>259</v>
      </c>
      <c r="C64" s="528"/>
      <c r="D64" s="528"/>
      <c r="E64" s="23"/>
      <c r="F64" s="529" t="s">
        <v>271</v>
      </c>
      <c r="G64" s="529"/>
    </row>
    <row r="65" spans="1:7" x14ac:dyDescent="0.2">
      <c r="A65" s="24" t="s">
        <v>264</v>
      </c>
      <c r="B65" s="518" t="s">
        <v>270</v>
      </c>
      <c r="C65" s="518"/>
      <c r="D65" s="518"/>
      <c r="E65" s="15"/>
      <c r="F65" s="519" t="s">
        <v>51</v>
      </c>
      <c r="G65" s="519"/>
    </row>
    <row r="66" spans="1:7" x14ac:dyDescent="0.2">
      <c r="A66" s="24"/>
      <c r="B66" s="113"/>
      <c r="C66" s="113"/>
      <c r="D66" s="113"/>
      <c r="E66" s="50"/>
      <c r="F66" s="31"/>
      <c r="G66" s="31"/>
    </row>
    <row r="67" spans="1:7" x14ac:dyDescent="0.2">
      <c r="A67" s="24"/>
      <c r="B67" s="25"/>
      <c r="C67" s="25"/>
      <c r="D67" s="25"/>
      <c r="E67" s="26"/>
      <c r="F67" s="27"/>
      <c r="G67" s="26"/>
    </row>
  </sheetData>
  <mergeCells count="10">
    <mergeCell ref="F64:G64"/>
    <mergeCell ref="F65:G65"/>
    <mergeCell ref="D10:F10"/>
    <mergeCell ref="A5:G5"/>
    <mergeCell ref="D8:F8"/>
    <mergeCell ref="B64:D64"/>
    <mergeCell ref="F11:F12"/>
    <mergeCell ref="E61:F61"/>
    <mergeCell ref="A10:A12"/>
    <mergeCell ref="B65:D65"/>
  </mergeCells>
  <pageMargins left="0.35433070866141736" right="0.11811023622047245" top="0.15748031496062992" bottom="0.11811023622047245" header="0" footer="0"/>
  <pageSetup paperSize="256" scale="94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 tint="-4.9989318521683403E-2"/>
  </sheetPr>
  <dimension ref="A1:G78"/>
  <sheetViews>
    <sheetView view="pageBreakPreview" topLeftCell="A7" zoomScale="110" zoomScaleNormal="100" zoomScaleSheetLayoutView="110" workbookViewId="0">
      <selection activeCell="A5" sqref="A5:G5"/>
    </sheetView>
  </sheetViews>
  <sheetFormatPr defaultColWidth="9.28515625" defaultRowHeight="12.75" x14ac:dyDescent="0.2"/>
  <cols>
    <col min="1" max="1" width="36.28515625" style="15" customWidth="1"/>
    <col min="2" max="2" width="11" style="28" customWidth="1"/>
    <col min="3" max="3" width="20.85546875" style="28" customWidth="1"/>
    <col min="4" max="4" width="17.28515625" style="28" customWidth="1"/>
    <col min="5" max="5" width="12.140625" style="28" customWidth="1"/>
    <col min="6" max="6" width="11.85546875" style="28" customWidth="1"/>
    <col min="7" max="7" width="11.7109375" style="28" customWidth="1"/>
    <col min="8" max="16384" width="9.28515625" style="3"/>
  </cols>
  <sheetData>
    <row r="1" spans="1:7" x14ac:dyDescent="0.2">
      <c r="A1" s="478" t="s">
        <v>344</v>
      </c>
      <c r="B1" s="471"/>
      <c r="C1" s="471"/>
      <c r="D1" s="471"/>
      <c r="E1" s="471"/>
      <c r="F1" s="471"/>
      <c r="G1" s="471"/>
    </row>
    <row r="2" spans="1:7" ht="11.25" customHeight="1" x14ac:dyDescent="0.2">
      <c r="A2" s="478" t="s">
        <v>345</v>
      </c>
      <c r="B2" s="479"/>
      <c r="C2" s="479"/>
      <c r="D2" s="479"/>
      <c r="E2" s="479"/>
      <c r="F2" s="479"/>
      <c r="G2" s="479"/>
    </row>
    <row r="3" spans="1:7" ht="9" customHeight="1" x14ac:dyDescent="0.2">
      <c r="A3" s="480" t="s">
        <v>346</v>
      </c>
      <c r="B3" s="479"/>
      <c r="C3" s="479"/>
      <c r="D3" s="479"/>
      <c r="E3" s="479"/>
      <c r="F3" s="479"/>
      <c r="G3" s="479"/>
    </row>
    <row r="4" spans="1:7" ht="15.6" customHeight="1" x14ac:dyDescent="0.2">
      <c r="A4" s="474"/>
      <c r="B4" s="474"/>
      <c r="C4" s="474"/>
      <c r="D4" s="474"/>
      <c r="E4" s="474"/>
      <c r="F4" s="474"/>
      <c r="G4" s="474"/>
    </row>
    <row r="5" spans="1:7" ht="12" customHeight="1" x14ac:dyDescent="0.25">
      <c r="A5" s="530" t="s">
        <v>347</v>
      </c>
      <c r="B5" s="530"/>
      <c r="C5" s="530"/>
      <c r="D5" s="530"/>
      <c r="E5" s="530"/>
      <c r="F5" s="530"/>
      <c r="G5" s="530"/>
    </row>
    <row r="6" spans="1:7" ht="3" customHeight="1" x14ac:dyDescent="0.2">
      <c r="A6" s="482"/>
      <c r="B6" s="482"/>
      <c r="C6" s="482"/>
      <c r="D6" s="482"/>
      <c r="E6" s="482"/>
      <c r="F6" s="482"/>
      <c r="G6" s="482"/>
    </row>
    <row r="7" spans="1:7" ht="17.649999999999999" customHeight="1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485"/>
    </row>
    <row r="8" spans="1:7" ht="24" x14ac:dyDescent="0.2">
      <c r="A8" s="486" t="s">
        <v>351</v>
      </c>
      <c r="B8" s="487" t="s">
        <v>352</v>
      </c>
      <c r="C8" s="488"/>
      <c r="D8" s="486" t="s">
        <v>357</v>
      </c>
      <c r="E8" s="489"/>
      <c r="F8" s="488"/>
      <c r="G8" s="488"/>
    </row>
    <row r="9" spans="1:7" ht="13.5" thickBot="1" x14ac:dyDescent="0.25">
      <c r="A9" s="486" t="s">
        <v>354</v>
      </c>
      <c r="B9" s="487" t="s">
        <v>355</v>
      </c>
      <c r="C9" s="488"/>
      <c r="D9" s="488"/>
      <c r="E9" s="488"/>
      <c r="F9" s="488"/>
      <c r="G9" s="488"/>
    </row>
    <row r="10" spans="1:7" ht="10.5" customHeight="1" thickBot="1" x14ac:dyDescent="0.25">
      <c r="A10" s="520" t="s">
        <v>27</v>
      </c>
      <c r="B10" s="448" t="s">
        <v>15</v>
      </c>
      <c r="C10" s="443" t="s">
        <v>1</v>
      </c>
      <c r="D10" s="522" t="s">
        <v>329</v>
      </c>
      <c r="E10" s="523"/>
      <c r="F10" s="524"/>
      <c r="G10" s="444" t="s">
        <v>3</v>
      </c>
    </row>
    <row r="11" spans="1:7" x14ac:dyDescent="0.2">
      <c r="A11" s="521"/>
      <c r="B11" s="449" t="s">
        <v>0</v>
      </c>
      <c r="C11" s="446">
        <v>2022</v>
      </c>
      <c r="D11" s="156" t="s">
        <v>167</v>
      </c>
      <c r="E11" s="245" t="s">
        <v>168</v>
      </c>
      <c r="F11" s="525" t="s">
        <v>169</v>
      </c>
      <c r="G11" s="447">
        <v>2024</v>
      </c>
    </row>
    <row r="12" spans="1:7" x14ac:dyDescent="0.2">
      <c r="A12" s="521"/>
      <c r="B12" s="180"/>
      <c r="C12" s="446" t="s">
        <v>2</v>
      </c>
      <c r="D12" s="449" t="s">
        <v>2</v>
      </c>
      <c r="E12" s="446" t="s">
        <v>183</v>
      </c>
      <c r="F12" s="526"/>
      <c r="G12" s="447" t="s">
        <v>33</v>
      </c>
    </row>
    <row r="13" spans="1:7" ht="11.25" customHeight="1" thickBot="1" x14ac:dyDescent="0.25">
      <c r="A13" s="451" t="s">
        <v>28</v>
      </c>
      <c r="B13" s="158" t="s">
        <v>29</v>
      </c>
      <c r="C13" s="452" t="s">
        <v>30</v>
      </c>
      <c r="D13" s="158" t="s">
        <v>31</v>
      </c>
      <c r="E13" s="452" t="s">
        <v>32</v>
      </c>
      <c r="F13" s="158" t="s">
        <v>170</v>
      </c>
      <c r="G13" s="453" t="s">
        <v>171</v>
      </c>
    </row>
    <row r="14" spans="1:7" ht="10.5" customHeight="1" x14ac:dyDescent="0.2">
      <c r="A14" s="163" t="s">
        <v>4</v>
      </c>
      <c r="B14" s="159"/>
      <c r="C14" s="27"/>
      <c r="D14" s="159"/>
      <c r="E14" s="27"/>
      <c r="F14" s="159"/>
      <c r="G14" s="290"/>
    </row>
    <row r="15" spans="1:7" ht="11.25" customHeight="1" x14ac:dyDescent="0.2">
      <c r="A15" s="163" t="s">
        <v>5</v>
      </c>
      <c r="B15" s="203"/>
      <c r="C15" s="302"/>
      <c r="D15" s="305"/>
      <c r="E15" s="56"/>
      <c r="F15" s="305"/>
      <c r="G15" s="324"/>
    </row>
    <row r="16" spans="1:7" ht="11.25" customHeight="1" x14ac:dyDescent="0.2">
      <c r="A16" s="136" t="s">
        <v>46</v>
      </c>
      <c r="B16" s="181" t="s">
        <v>100</v>
      </c>
      <c r="C16" s="167">
        <v>4437887.32</v>
      </c>
      <c r="D16" s="193">
        <v>2498059.66</v>
      </c>
      <c r="E16" s="166">
        <f t="shared" ref="E16:E35" si="0">F16-D16</f>
        <v>2920340.34</v>
      </c>
      <c r="F16" s="400">
        <f>5097000+321400</f>
        <v>5418400</v>
      </c>
      <c r="G16" s="325">
        <f>5538000-3000</f>
        <v>5535000</v>
      </c>
    </row>
    <row r="17" spans="1:7" x14ac:dyDescent="0.2">
      <c r="A17" s="136" t="s">
        <v>193</v>
      </c>
      <c r="B17" s="181" t="s">
        <v>101</v>
      </c>
      <c r="C17" s="167">
        <v>549231.22</v>
      </c>
      <c r="D17" s="193">
        <v>277454.53999999998</v>
      </c>
      <c r="E17" s="166">
        <f t="shared" si="0"/>
        <v>316545.46000000002</v>
      </c>
      <c r="F17" s="401">
        <f>576000+18000</f>
        <v>594000</v>
      </c>
      <c r="G17" s="326">
        <v>600000</v>
      </c>
    </row>
    <row r="18" spans="1:7" x14ac:dyDescent="0.2">
      <c r="A18" s="136" t="s">
        <v>40</v>
      </c>
      <c r="B18" s="181" t="s">
        <v>120</v>
      </c>
      <c r="C18" s="167">
        <v>81000</v>
      </c>
      <c r="D18" s="193">
        <v>40500</v>
      </c>
      <c r="E18" s="166">
        <f t="shared" si="0"/>
        <v>40500</v>
      </c>
      <c r="F18" s="400">
        <v>81000</v>
      </c>
      <c r="G18" s="325">
        <v>81000</v>
      </c>
    </row>
    <row r="19" spans="1:7" x14ac:dyDescent="0.2">
      <c r="A19" s="136" t="s">
        <v>41</v>
      </c>
      <c r="B19" s="181" t="s">
        <v>121</v>
      </c>
      <c r="C19" s="167">
        <v>81000</v>
      </c>
      <c r="D19" s="193">
        <v>40500</v>
      </c>
      <c r="E19" s="166">
        <f t="shared" si="0"/>
        <v>40500</v>
      </c>
      <c r="F19" s="400">
        <v>81000</v>
      </c>
      <c r="G19" s="325">
        <v>81000</v>
      </c>
    </row>
    <row r="20" spans="1:7" x14ac:dyDescent="0.2">
      <c r="A20" s="136" t="s">
        <v>42</v>
      </c>
      <c r="B20" s="181" t="s">
        <v>102</v>
      </c>
      <c r="C20" s="167">
        <v>132000</v>
      </c>
      <c r="D20" s="193">
        <v>144000</v>
      </c>
      <c r="E20" s="166">
        <f t="shared" si="0"/>
        <v>6000</v>
      </c>
      <c r="F20" s="400">
        <f>144000+6000</f>
        <v>150000</v>
      </c>
      <c r="G20" s="325">
        <v>150000</v>
      </c>
    </row>
    <row r="21" spans="1:7" ht="11.25" customHeight="1" x14ac:dyDescent="0.2">
      <c r="A21" s="136" t="s">
        <v>182</v>
      </c>
      <c r="B21" s="181" t="s">
        <v>158</v>
      </c>
      <c r="C21" s="168">
        <v>0</v>
      </c>
      <c r="D21" s="198">
        <v>0</v>
      </c>
      <c r="E21" s="166">
        <f t="shared" si="0"/>
        <v>0</v>
      </c>
      <c r="F21" s="198">
        <v>0</v>
      </c>
      <c r="G21" s="198">
        <v>0</v>
      </c>
    </row>
    <row r="22" spans="1:7" ht="10.5" customHeight="1" x14ac:dyDescent="0.2">
      <c r="A22" s="136" t="s">
        <v>94</v>
      </c>
      <c r="B22" s="181" t="s">
        <v>104</v>
      </c>
      <c r="C22" s="167">
        <v>369360.5</v>
      </c>
      <c r="D22" s="193">
        <v>0</v>
      </c>
      <c r="E22" s="166">
        <f t="shared" si="0"/>
        <v>460800</v>
      </c>
      <c r="F22" s="401">
        <f>425000+35800</f>
        <v>460800</v>
      </c>
      <c r="G22" s="326">
        <v>462000</v>
      </c>
    </row>
    <row r="23" spans="1:7" ht="12" customHeight="1" x14ac:dyDescent="0.2">
      <c r="A23" s="136" t="s">
        <v>150</v>
      </c>
      <c r="B23" s="181" t="s">
        <v>127</v>
      </c>
      <c r="C23" s="167">
        <v>369360.5</v>
      </c>
      <c r="D23" s="193">
        <v>424747</v>
      </c>
      <c r="E23" s="166">
        <f t="shared" si="0"/>
        <v>36053</v>
      </c>
      <c r="F23" s="400">
        <f>425000+35800</f>
        <v>460800</v>
      </c>
      <c r="G23" s="325">
        <v>462000</v>
      </c>
    </row>
    <row r="24" spans="1:7" ht="11.25" customHeight="1" x14ac:dyDescent="0.2">
      <c r="A24" s="136" t="s">
        <v>10</v>
      </c>
      <c r="B24" s="181" t="s">
        <v>103</v>
      </c>
      <c r="C24" s="167">
        <v>110000</v>
      </c>
      <c r="D24" s="193">
        <v>0</v>
      </c>
      <c r="E24" s="166">
        <f t="shared" si="0"/>
        <v>125000</v>
      </c>
      <c r="F24" s="400">
        <f>120000+5000</f>
        <v>125000</v>
      </c>
      <c r="G24" s="325">
        <v>125000</v>
      </c>
    </row>
    <row r="25" spans="1:7" ht="11.25" customHeight="1" x14ac:dyDescent="0.2">
      <c r="A25" s="136" t="s">
        <v>160</v>
      </c>
      <c r="B25" s="181" t="s">
        <v>105</v>
      </c>
      <c r="C25" s="167">
        <v>536837.74</v>
      </c>
      <c r="D25" s="193">
        <v>305830.44</v>
      </c>
      <c r="E25" s="166">
        <f t="shared" si="0"/>
        <v>344769.56</v>
      </c>
      <c r="F25" s="401">
        <f>612000+38600</f>
        <v>650600</v>
      </c>
      <c r="G25" s="326">
        <v>665000</v>
      </c>
    </row>
    <row r="26" spans="1:7" x14ac:dyDescent="0.2">
      <c r="A26" s="136" t="s">
        <v>49</v>
      </c>
      <c r="B26" s="181" t="s">
        <v>106</v>
      </c>
      <c r="C26" s="167">
        <v>87371.12</v>
      </c>
      <c r="D26" s="193">
        <v>50969.64</v>
      </c>
      <c r="E26" s="166">
        <f t="shared" si="0"/>
        <v>57530.36</v>
      </c>
      <c r="F26" s="401">
        <f>102000+6500</f>
        <v>108500</v>
      </c>
      <c r="G26" s="326">
        <v>111000</v>
      </c>
    </row>
    <row r="27" spans="1:7" ht="11.25" customHeight="1" x14ac:dyDescent="0.2">
      <c r="A27" s="136" t="s">
        <v>44</v>
      </c>
      <c r="B27" s="181" t="s">
        <v>107</v>
      </c>
      <c r="C27" s="167">
        <v>89486.14</v>
      </c>
      <c r="D27" s="193">
        <v>49673.760000000002</v>
      </c>
      <c r="E27" s="166">
        <f t="shared" si="0"/>
        <v>78226.239999999991</v>
      </c>
      <c r="F27" s="400">
        <f>115000+12900</f>
        <v>127900</v>
      </c>
      <c r="G27" s="325">
        <v>139000</v>
      </c>
    </row>
    <row r="28" spans="1:7" ht="11.25" customHeight="1" x14ac:dyDescent="0.2">
      <c r="A28" s="136" t="s">
        <v>188</v>
      </c>
      <c r="B28" s="181"/>
      <c r="C28" s="167"/>
      <c r="D28" s="193"/>
      <c r="E28" s="166"/>
      <c r="F28" s="400"/>
      <c r="G28" s="325"/>
    </row>
    <row r="29" spans="1:7" x14ac:dyDescent="0.2">
      <c r="A29" s="136" t="s">
        <v>189</v>
      </c>
      <c r="B29" s="181" t="s">
        <v>108</v>
      </c>
      <c r="C29" s="167">
        <v>26600</v>
      </c>
      <c r="D29" s="193">
        <v>14400</v>
      </c>
      <c r="E29" s="166">
        <f t="shared" si="0"/>
        <v>15300</v>
      </c>
      <c r="F29" s="401">
        <f>28800+900</f>
        <v>29700</v>
      </c>
      <c r="G29" s="326">
        <v>30000</v>
      </c>
    </row>
    <row r="30" spans="1:7" x14ac:dyDescent="0.2">
      <c r="A30" s="136" t="s">
        <v>45</v>
      </c>
      <c r="B30" s="181" t="s">
        <v>128</v>
      </c>
      <c r="C30" s="167">
        <v>217776.39</v>
      </c>
      <c r="D30" s="193">
        <v>197367.11</v>
      </c>
      <c r="E30" s="166">
        <f t="shared" si="0"/>
        <v>202632.89</v>
      </c>
      <c r="F30" s="400">
        <v>400000</v>
      </c>
      <c r="G30" s="325">
        <f>386000+3000</f>
        <v>389000</v>
      </c>
    </row>
    <row r="31" spans="1:7" x14ac:dyDescent="0.2">
      <c r="A31" s="137" t="s">
        <v>60</v>
      </c>
      <c r="B31" s="181" t="s">
        <v>129</v>
      </c>
      <c r="C31" s="167">
        <v>110000</v>
      </c>
      <c r="D31" s="193">
        <v>0</v>
      </c>
      <c r="E31" s="166">
        <f t="shared" si="0"/>
        <v>125000</v>
      </c>
      <c r="F31" s="400">
        <f>120000+5000</f>
        <v>125000</v>
      </c>
      <c r="G31" s="325">
        <v>125000</v>
      </c>
    </row>
    <row r="32" spans="1:7" x14ac:dyDescent="0.2">
      <c r="A32" s="137" t="s">
        <v>72</v>
      </c>
      <c r="B32" s="181" t="s">
        <v>130</v>
      </c>
      <c r="C32" s="167">
        <v>10000</v>
      </c>
      <c r="D32" s="193">
        <v>0</v>
      </c>
      <c r="E32" s="166">
        <f t="shared" si="0"/>
        <v>0</v>
      </c>
      <c r="F32" s="413">
        <v>0</v>
      </c>
      <c r="G32" s="469">
        <v>20000</v>
      </c>
    </row>
    <row r="33" spans="1:7" x14ac:dyDescent="0.2">
      <c r="A33" s="137" t="s">
        <v>89</v>
      </c>
      <c r="B33" s="181" t="s">
        <v>131</v>
      </c>
      <c r="C33" s="167">
        <v>0</v>
      </c>
      <c r="D33" s="193">
        <v>0</v>
      </c>
      <c r="E33" s="166">
        <f t="shared" si="0"/>
        <v>0</v>
      </c>
      <c r="F33" s="413">
        <v>0</v>
      </c>
      <c r="G33" s="431">
        <v>0</v>
      </c>
    </row>
    <row r="34" spans="1:7" x14ac:dyDescent="0.2">
      <c r="A34" s="137" t="s">
        <v>260</v>
      </c>
      <c r="B34" s="184" t="s">
        <v>261</v>
      </c>
      <c r="C34" s="169">
        <v>600000</v>
      </c>
      <c r="D34" s="200">
        <v>0</v>
      </c>
      <c r="E34" s="166">
        <f t="shared" si="0"/>
        <v>0</v>
      </c>
      <c r="F34" s="414">
        <v>0</v>
      </c>
      <c r="G34" s="432">
        <v>0</v>
      </c>
    </row>
    <row r="35" spans="1:7" ht="13.5" thickBot="1" x14ac:dyDescent="0.25">
      <c r="A35" s="164" t="s">
        <v>293</v>
      </c>
      <c r="B35" s="182" t="s">
        <v>292</v>
      </c>
      <c r="C35" s="170">
        <v>480000</v>
      </c>
      <c r="D35" s="295">
        <v>0</v>
      </c>
      <c r="E35" s="166">
        <f t="shared" si="0"/>
        <v>0</v>
      </c>
      <c r="F35" s="402">
        <v>0</v>
      </c>
      <c r="G35" s="433">
        <v>0</v>
      </c>
    </row>
    <row r="36" spans="1:7" ht="13.5" thickBot="1" x14ac:dyDescent="0.25">
      <c r="A36" s="12" t="s">
        <v>75</v>
      </c>
      <c r="B36" s="72"/>
      <c r="C36" s="76">
        <f>SUM(C16:C35)</f>
        <v>8287910.9299999997</v>
      </c>
      <c r="D36" s="75">
        <f>SUM(D16:D35)</f>
        <v>4043502.15</v>
      </c>
      <c r="E36" s="76">
        <f>SUM(E16:E35)</f>
        <v>4769197.8499999996</v>
      </c>
      <c r="F36" s="384">
        <f>SUM(F16:F35)</f>
        <v>8812700</v>
      </c>
      <c r="G36" s="74">
        <f>SUM(G16:G35)</f>
        <v>8975000</v>
      </c>
    </row>
    <row r="37" spans="1:7" x14ac:dyDescent="0.2">
      <c r="A37" s="163" t="s">
        <v>7</v>
      </c>
      <c r="B37" s="183"/>
      <c r="C37" s="334"/>
      <c r="D37" s="333"/>
      <c r="E37" s="114"/>
      <c r="F37" s="403"/>
      <c r="G37" s="327"/>
    </row>
    <row r="38" spans="1:7" ht="10.5" customHeight="1" x14ac:dyDescent="0.2">
      <c r="A38" s="137" t="s">
        <v>8</v>
      </c>
      <c r="B38" s="181" t="s">
        <v>109</v>
      </c>
      <c r="C38" s="167">
        <v>313311.5</v>
      </c>
      <c r="D38" s="193">
        <v>47809</v>
      </c>
      <c r="E38" s="166">
        <f t="shared" ref="E38:E55" si="1">F38-D38</f>
        <v>452191</v>
      </c>
      <c r="F38" s="404">
        <v>500000</v>
      </c>
      <c r="G38" s="208">
        <v>500000</v>
      </c>
    </row>
    <row r="39" spans="1:7" x14ac:dyDescent="0.2">
      <c r="A39" s="137" t="s">
        <v>281</v>
      </c>
      <c r="B39" s="181" t="s">
        <v>110</v>
      </c>
      <c r="C39" s="167">
        <v>23105</v>
      </c>
      <c r="D39" s="193">
        <v>24000</v>
      </c>
      <c r="E39" s="166">
        <f t="shared" si="1"/>
        <v>176000</v>
      </c>
      <c r="F39" s="404">
        <v>200000</v>
      </c>
      <c r="G39" s="208">
        <v>200000</v>
      </c>
    </row>
    <row r="40" spans="1:7" ht="10.5" customHeight="1" x14ac:dyDescent="0.2">
      <c r="A40" s="137" t="s">
        <v>13</v>
      </c>
      <c r="B40" s="181" t="s">
        <v>111</v>
      </c>
      <c r="C40" s="167">
        <v>229738</v>
      </c>
      <c r="D40" s="193">
        <v>114669</v>
      </c>
      <c r="E40" s="166">
        <f t="shared" si="1"/>
        <v>115331</v>
      </c>
      <c r="F40" s="404">
        <v>230000</v>
      </c>
      <c r="G40" s="208">
        <v>230000</v>
      </c>
    </row>
    <row r="41" spans="1:7" ht="12" customHeight="1" x14ac:dyDescent="0.2">
      <c r="A41" s="136" t="s">
        <v>163</v>
      </c>
      <c r="B41" s="181" t="s">
        <v>122</v>
      </c>
      <c r="C41" s="167">
        <v>5719209.1600000001</v>
      </c>
      <c r="D41" s="193">
        <v>3268455</v>
      </c>
      <c r="E41" s="166">
        <f t="shared" si="1"/>
        <v>2731545</v>
      </c>
      <c r="F41" s="405">
        <f>3000000+3000000</f>
        <v>6000000</v>
      </c>
      <c r="G41" s="328">
        <v>3000000</v>
      </c>
    </row>
    <row r="42" spans="1:7" ht="10.5" customHeight="1" x14ac:dyDescent="0.2">
      <c r="A42" s="136" t="s">
        <v>164</v>
      </c>
      <c r="B42" s="181" t="s">
        <v>112</v>
      </c>
      <c r="C42" s="167">
        <v>599998</v>
      </c>
      <c r="D42" s="193">
        <v>69334</v>
      </c>
      <c r="E42" s="166">
        <f t="shared" si="1"/>
        <v>610666</v>
      </c>
      <c r="F42" s="405">
        <v>680000</v>
      </c>
      <c r="G42" s="328">
        <v>410000</v>
      </c>
    </row>
    <row r="43" spans="1:7" ht="11.25" customHeight="1" x14ac:dyDescent="0.2">
      <c r="A43" s="136" t="s">
        <v>17</v>
      </c>
      <c r="B43" s="181" t="s">
        <v>123</v>
      </c>
      <c r="C43" s="167">
        <v>0</v>
      </c>
      <c r="D43" s="193">
        <v>0</v>
      </c>
      <c r="E43" s="166">
        <f t="shared" si="1"/>
        <v>0</v>
      </c>
      <c r="F43" s="193">
        <v>0</v>
      </c>
      <c r="G43" s="208">
        <v>0</v>
      </c>
    </row>
    <row r="44" spans="1:7" ht="12" customHeight="1" x14ac:dyDescent="0.2">
      <c r="A44" s="136" t="s">
        <v>11</v>
      </c>
      <c r="B44" s="181" t="s">
        <v>134</v>
      </c>
      <c r="C44" s="167">
        <v>6885051.6200000001</v>
      </c>
      <c r="D44" s="193">
        <v>2602499.98</v>
      </c>
      <c r="E44" s="166">
        <f t="shared" si="1"/>
        <v>3397500.02</v>
      </c>
      <c r="F44" s="404">
        <v>6000000</v>
      </c>
      <c r="G44" s="208">
        <v>6000000</v>
      </c>
    </row>
    <row r="45" spans="1:7" ht="11.25" customHeight="1" x14ac:dyDescent="0.2">
      <c r="A45" s="136" t="s">
        <v>165</v>
      </c>
      <c r="B45" s="181" t="s">
        <v>113</v>
      </c>
      <c r="C45" s="167">
        <v>0</v>
      </c>
      <c r="D45" s="193">
        <v>0</v>
      </c>
      <c r="E45" s="166">
        <f t="shared" si="1"/>
        <v>0</v>
      </c>
      <c r="F45" s="193">
        <v>0</v>
      </c>
      <c r="G45" s="208">
        <v>0</v>
      </c>
    </row>
    <row r="46" spans="1:7" ht="10.5" customHeight="1" x14ac:dyDescent="0.2">
      <c r="A46" s="136" t="s">
        <v>166</v>
      </c>
      <c r="B46" s="184" t="s">
        <v>114</v>
      </c>
      <c r="C46" s="167">
        <v>38075.33</v>
      </c>
      <c r="D46" s="193">
        <v>14733</v>
      </c>
      <c r="E46" s="166">
        <f t="shared" si="1"/>
        <v>33267</v>
      </c>
      <c r="F46" s="404">
        <v>48000</v>
      </c>
      <c r="G46" s="208">
        <v>48000</v>
      </c>
    </row>
    <row r="47" spans="1:7" ht="10.5" customHeight="1" x14ac:dyDescent="0.2">
      <c r="A47" s="136" t="s">
        <v>151</v>
      </c>
      <c r="B47" s="184" t="s">
        <v>152</v>
      </c>
      <c r="C47" s="167">
        <v>14044691.49</v>
      </c>
      <c r="D47" s="193">
        <v>5346842.29</v>
      </c>
      <c r="E47" s="166">
        <f t="shared" si="1"/>
        <v>10998962.710000001</v>
      </c>
      <c r="F47" s="395">
        <f>15345805+1000000</f>
        <v>16345805</v>
      </c>
      <c r="G47" s="148">
        <v>15750000</v>
      </c>
    </row>
    <row r="48" spans="1:7" x14ac:dyDescent="0.2">
      <c r="A48" s="136" t="s">
        <v>235</v>
      </c>
      <c r="B48" s="184"/>
      <c r="C48" s="167"/>
      <c r="D48" s="193"/>
      <c r="E48" s="166"/>
      <c r="F48" s="395"/>
      <c r="G48" s="148"/>
    </row>
    <row r="49" spans="1:7" ht="11.25" customHeight="1" x14ac:dyDescent="0.2">
      <c r="A49" s="136" t="s">
        <v>238</v>
      </c>
      <c r="B49" s="184" t="s">
        <v>147</v>
      </c>
      <c r="C49" s="167">
        <v>2892920</v>
      </c>
      <c r="D49" s="193">
        <v>85000</v>
      </c>
      <c r="E49" s="166">
        <f t="shared" si="1"/>
        <v>4465000</v>
      </c>
      <c r="F49" s="395">
        <f>4100000+450000</f>
        <v>4550000</v>
      </c>
      <c r="G49" s="148">
        <v>3000000</v>
      </c>
    </row>
    <row r="50" spans="1:7" ht="12" customHeight="1" x14ac:dyDescent="0.2">
      <c r="A50" s="136" t="s">
        <v>239</v>
      </c>
      <c r="B50" s="181" t="s">
        <v>124</v>
      </c>
      <c r="C50" s="167">
        <v>0</v>
      </c>
      <c r="D50" s="193">
        <v>0</v>
      </c>
      <c r="E50" s="166">
        <f t="shared" si="1"/>
        <v>40000</v>
      </c>
      <c r="F50" s="404">
        <v>40000</v>
      </c>
      <c r="G50" s="208">
        <v>40000</v>
      </c>
    </row>
    <row r="51" spans="1:7" ht="11.25" customHeight="1" x14ac:dyDescent="0.2">
      <c r="A51" s="136" t="s">
        <v>236</v>
      </c>
      <c r="B51" s="184" t="s">
        <v>148</v>
      </c>
      <c r="C51" s="167">
        <v>11190421.5</v>
      </c>
      <c r="D51" s="193">
        <v>3040300</v>
      </c>
      <c r="E51" s="166">
        <f t="shared" si="1"/>
        <v>7959700</v>
      </c>
      <c r="F51" s="404">
        <v>11000000</v>
      </c>
      <c r="G51" s="208">
        <v>11000000</v>
      </c>
    </row>
    <row r="52" spans="1:7" ht="12" customHeight="1" x14ac:dyDescent="0.2">
      <c r="A52" s="136" t="s">
        <v>191</v>
      </c>
      <c r="B52" s="184"/>
      <c r="C52" s="167"/>
      <c r="D52" s="193"/>
      <c r="E52" s="166"/>
      <c r="F52" s="395"/>
      <c r="G52" s="148"/>
    </row>
    <row r="53" spans="1:7" ht="10.5" customHeight="1" x14ac:dyDescent="0.2">
      <c r="A53" s="136" t="s">
        <v>237</v>
      </c>
      <c r="B53" s="184" t="s">
        <v>115</v>
      </c>
      <c r="C53" s="167">
        <v>1033140</v>
      </c>
      <c r="D53" s="193">
        <v>415990</v>
      </c>
      <c r="E53" s="166">
        <f t="shared" si="1"/>
        <v>584010</v>
      </c>
      <c r="F53" s="395">
        <v>1000000</v>
      </c>
      <c r="G53" s="148">
        <v>0</v>
      </c>
    </row>
    <row r="54" spans="1:7" x14ac:dyDescent="0.2">
      <c r="A54" s="136" t="s">
        <v>64</v>
      </c>
      <c r="B54" s="181" t="s">
        <v>137</v>
      </c>
      <c r="C54" s="167">
        <v>0</v>
      </c>
      <c r="D54" s="193">
        <v>15000</v>
      </c>
      <c r="E54" s="166">
        <f t="shared" si="1"/>
        <v>0</v>
      </c>
      <c r="F54" s="382">
        <v>15000</v>
      </c>
      <c r="G54" s="149">
        <v>30000</v>
      </c>
    </row>
    <row r="55" spans="1:7" ht="9.75" customHeight="1" thickBot="1" x14ac:dyDescent="0.25">
      <c r="A55" s="136" t="s">
        <v>18</v>
      </c>
      <c r="B55" s="184" t="s">
        <v>116</v>
      </c>
      <c r="C55" s="169">
        <v>796302.99</v>
      </c>
      <c r="D55" s="200">
        <v>87117.5</v>
      </c>
      <c r="E55" s="166">
        <f t="shared" si="1"/>
        <v>712882.5</v>
      </c>
      <c r="F55" s="406">
        <v>800000</v>
      </c>
      <c r="G55" s="321">
        <v>646712.22</v>
      </c>
    </row>
    <row r="56" spans="1:7" ht="13.5" thickBot="1" x14ac:dyDescent="0.25">
      <c r="A56" s="12" t="s">
        <v>24</v>
      </c>
      <c r="B56" s="72"/>
      <c r="C56" s="76">
        <f>SUM(C38:C55)</f>
        <v>43765964.590000004</v>
      </c>
      <c r="D56" s="75">
        <f>SUM(D38:D55)</f>
        <v>15131749.77</v>
      </c>
      <c r="E56" s="76">
        <f>SUM(E38:E55)</f>
        <v>32277055.23</v>
      </c>
      <c r="F56" s="75">
        <f>SUM(F38:F55)</f>
        <v>47408805</v>
      </c>
      <c r="G56" s="74">
        <f>SUM(G38:G55)</f>
        <v>40854712.219999999</v>
      </c>
    </row>
    <row r="57" spans="1:7" ht="12" customHeight="1" x14ac:dyDescent="0.2">
      <c r="A57" s="163" t="s">
        <v>9</v>
      </c>
      <c r="B57" s="185"/>
      <c r="C57" s="175"/>
      <c r="D57" s="300"/>
      <c r="E57" s="331"/>
      <c r="F57" s="407"/>
      <c r="G57" s="329"/>
    </row>
    <row r="58" spans="1:7" ht="12.75" customHeight="1" x14ac:dyDescent="0.2">
      <c r="A58" s="136" t="s">
        <v>50</v>
      </c>
      <c r="B58" s="181" t="s">
        <v>153</v>
      </c>
      <c r="C58" s="167">
        <v>0</v>
      </c>
      <c r="D58" s="193">
        <v>3000000</v>
      </c>
      <c r="E58" s="166">
        <f>F58-D58</f>
        <v>0</v>
      </c>
      <c r="F58" s="404">
        <v>3000000</v>
      </c>
      <c r="G58" s="208">
        <v>0</v>
      </c>
    </row>
    <row r="59" spans="1:7" ht="7.5" customHeight="1" x14ac:dyDescent="0.2">
      <c r="A59" s="136" t="s">
        <v>83</v>
      </c>
      <c r="B59" s="181" t="s">
        <v>154</v>
      </c>
      <c r="C59" s="167">
        <f>500000+7500000</f>
        <v>8000000</v>
      </c>
      <c r="D59" s="193"/>
      <c r="E59" s="166">
        <f t="shared" ref="E59:E65" si="2">F59-D59</f>
        <v>500000</v>
      </c>
      <c r="F59" s="395">
        <v>500000</v>
      </c>
      <c r="G59" s="148">
        <v>0</v>
      </c>
    </row>
    <row r="60" spans="1:7" ht="12.75" customHeight="1" x14ac:dyDescent="0.2">
      <c r="A60" s="136" t="s">
        <v>78</v>
      </c>
      <c r="B60" s="181" t="s">
        <v>117</v>
      </c>
      <c r="C60" s="167">
        <v>0</v>
      </c>
      <c r="D60" s="193">
        <v>0</v>
      </c>
      <c r="E60" s="166">
        <f t="shared" si="2"/>
        <v>0</v>
      </c>
      <c r="F60" s="395">
        <v>0</v>
      </c>
      <c r="G60" s="148">
        <v>120000</v>
      </c>
    </row>
    <row r="61" spans="1:7" ht="12.75" customHeight="1" x14ac:dyDescent="0.2">
      <c r="A61" s="137" t="s">
        <v>209</v>
      </c>
      <c r="B61" s="181"/>
      <c r="C61" s="167">
        <v>0</v>
      </c>
      <c r="D61" s="193"/>
      <c r="E61" s="166"/>
      <c r="F61" s="395"/>
      <c r="G61" s="148"/>
    </row>
    <row r="62" spans="1:7" ht="9" customHeight="1" x14ac:dyDescent="0.2">
      <c r="A62" s="136" t="s">
        <v>255</v>
      </c>
      <c r="B62" s="181" t="s">
        <v>125</v>
      </c>
      <c r="C62" s="167">
        <v>65000</v>
      </c>
      <c r="D62" s="193">
        <v>0</v>
      </c>
      <c r="E62" s="166">
        <f t="shared" si="2"/>
        <v>160000</v>
      </c>
      <c r="F62" s="404">
        <v>160000</v>
      </c>
      <c r="G62" s="208">
        <v>100000</v>
      </c>
    </row>
    <row r="63" spans="1:7" ht="6.75" customHeight="1" x14ac:dyDescent="0.2">
      <c r="A63" s="136" t="s">
        <v>86</v>
      </c>
      <c r="B63" s="181" t="s">
        <v>155</v>
      </c>
      <c r="C63" s="167">
        <v>0</v>
      </c>
      <c r="D63" s="193">
        <v>0</v>
      </c>
      <c r="E63" s="166">
        <v>0</v>
      </c>
      <c r="F63" s="395">
        <v>0</v>
      </c>
      <c r="G63" s="148">
        <v>0</v>
      </c>
    </row>
    <row r="64" spans="1:7" x14ac:dyDescent="0.2">
      <c r="A64" s="136" t="s">
        <v>84</v>
      </c>
      <c r="B64" s="181" t="s">
        <v>118</v>
      </c>
      <c r="C64" s="167">
        <v>0</v>
      </c>
      <c r="D64" s="193">
        <v>0</v>
      </c>
      <c r="E64" s="166">
        <f t="shared" si="2"/>
        <v>0</v>
      </c>
      <c r="F64" s="395">
        <v>0</v>
      </c>
      <c r="G64" s="148">
        <v>0</v>
      </c>
    </row>
    <row r="65" spans="1:7" ht="11.25" customHeight="1" thickBot="1" x14ac:dyDescent="0.25">
      <c r="A65" s="205" t="s">
        <v>253</v>
      </c>
      <c r="B65" s="224" t="s">
        <v>119</v>
      </c>
      <c r="C65" s="170">
        <v>1865000</v>
      </c>
      <c r="D65" s="295">
        <v>0</v>
      </c>
      <c r="E65" s="332">
        <f t="shared" si="2"/>
        <v>0</v>
      </c>
      <c r="F65" s="408">
        <v>0</v>
      </c>
      <c r="G65" s="330">
        <v>0</v>
      </c>
    </row>
    <row r="66" spans="1:7" ht="11.25" customHeight="1" thickBot="1" x14ac:dyDescent="0.25">
      <c r="A66" s="12" t="s">
        <v>77</v>
      </c>
      <c r="B66" s="79"/>
      <c r="C66" s="68">
        <f>SUM(C58:C65)</f>
        <v>9930000</v>
      </c>
      <c r="D66" s="52">
        <f>SUM(D58:D65)</f>
        <v>3000000</v>
      </c>
      <c r="E66" s="68">
        <f>SUM(E58:E65)</f>
        <v>660000</v>
      </c>
      <c r="F66" s="379">
        <f>SUM(F58:F65)</f>
        <v>3660000</v>
      </c>
      <c r="G66" s="67">
        <f>SUM(G58:G65)</f>
        <v>220000</v>
      </c>
    </row>
    <row r="67" spans="1:7" ht="11.25" customHeight="1" thickBot="1" x14ac:dyDescent="0.25">
      <c r="A67" s="13" t="s">
        <v>53</v>
      </c>
      <c r="B67" s="11"/>
      <c r="C67" s="119">
        <f>C36+C56+C66</f>
        <v>61983875.520000003</v>
      </c>
      <c r="D67" s="52">
        <f>D36+D56+D66</f>
        <v>22175251.919999998</v>
      </c>
      <c r="E67" s="68">
        <f>E36+E56+E66</f>
        <v>37706253.079999998</v>
      </c>
      <c r="F67" s="379">
        <f>F36+F56+F66</f>
        <v>59881505</v>
      </c>
      <c r="G67" s="67">
        <f>G66+G56+G36</f>
        <v>50049712.219999999</v>
      </c>
    </row>
    <row r="68" spans="1:7" ht="11.25" customHeight="1" x14ac:dyDescent="0.2">
      <c r="A68" s="4"/>
      <c r="B68" s="19"/>
      <c r="C68" s="19"/>
      <c r="D68" s="19"/>
      <c r="E68" s="33"/>
      <c r="F68" s="33"/>
      <c r="G68" s="33"/>
    </row>
    <row r="69" spans="1:7" ht="11.25" customHeight="1" x14ac:dyDescent="0.2">
      <c r="A69" s="22" t="s">
        <v>232</v>
      </c>
      <c r="B69" s="22" t="s">
        <v>172</v>
      </c>
      <c r="C69" s="22"/>
      <c r="D69" s="15"/>
      <c r="E69" s="527" t="s">
        <v>16</v>
      </c>
      <c r="F69" s="527"/>
      <c r="G69" s="8"/>
    </row>
    <row r="70" spans="1:7" x14ac:dyDescent="0.2">
      <c r="A70" s="22"/>
      <c r="B70" s="22"/>
      <c r="C70" s="22"/>
      <c r="D70" s="15"/>
      <c r="E70" s="439"/>
      <c r="F70" s="439"/>
      <c r="G70" s="8"/>
    </row>
    <row r="71" spans="1:7" x14ac:dyDescent="0.2">
      <c r="A71" s="8"/>
      <c r="B71" s="15"/>
      <c r="C71" s="15"/>
      <c r="D71" s="15"/>
      <c r="E71" s="15"/>
      <c r="F71" s="15"/>
      <c r="G71" s="15"/>
    </row>
    <row r="72" spans="1:7" x14ac:dyDescent="0.2">
      <c r="A72" s="4"/>
      <c r="B72" s="23"/>
      <c r="C72" s="23"/>
      <c r="D72" s="23"/>
      <c r="E72" s="23"/>
      <c r="F72" s="4"/>
      <c r="G72" s="8"/>
    </row>
    <row r="73" spans="1:7" x14ac:dyDescent="0.2">
      <c r="A73" s="440" t="s">
        <v>99</v>
      </c>
      <c r="B73" s="528" t="s">
        <v>259</v>
      </c>
      <c r="C73" s="528"/>
      <c r="D73" s="528"/>
      <c r="E73" s="23"/>
      <c r="F73" s="529" t="s">
        <v>271</v>
      </c>
      <c r="G73" s="529"/>
    </row>
    <row r="74" spans="1:7" x14ac:dyDescent="0.2">
      <c r="A74" s="455" t="s">
        <v>37</v>
      </c>
      <c r="B74" s="518" t="s">
        <v>270</v>
      </c>
      <c r="C74" s="518"/>
      <c r="D74" s="518"/>
      <c r="E74" s="71"/>
      <c r="F74" s="531" t="s">
        <v>51</v>
      </c>
      <c r="G74" s="531"/>
    </row>
    <row r="75" spans="1:7" x14ac:dyDescent="0.2">
      <c r="A75" s="455"/>
      <c r="B75" s="442"/>
      <c r="C75" s="442"/>
      <c r="D75" s="442"/>
      <c r="E75" s="71"/>
      <c r="F75" s="455"/>
      <c r="G75" s="455"/>
    </row>
    <row r="76" spans="1:7" x14ac:dyDescent="0.2">
      <c r="A76" s="455"/>
      <c r="B76" s="442"/>
      <c r="C76" s="442"/>
      <c r="D76" s="442"/>
      <c r="E76" s="71"/>
      <c r="F76" s="455"/>
      <c r="G76" s="455"/>
    </row>
    <row r="77" spans="1:7" x14ac:dyDescent="0.2">
      <c r="A77" s="455"/>
      <c r="B77" s="442"/>
      <c r="C77" s="442"/>
      <c r="D77" s="442"/>
      <c r="E77" s="71"/>
      <c r="F77" s="455"/>
      <c r="G77" s="455"/>
    </row>
    <row r="78" spans="1:7" x14ac:dyDescent="0.2">
      <c r="A78" s="455"/>
      <c r="B78" s="442"/>
      <c r="C78" s="442"/>
      <c r="D78" s="442"/>
      <c r="E78" s="71"/>
      <c r="F78" s="455"/>
      <c r="G78" s="455"/>
    </row>
  </sheetData>
  <mergeCells count="9">
    <mergeCell ref="A5:G5"/>
    <mergeCell ref="E69:F69"/>
    <mergeCell ref="B73:D73"/>
    <mergeCell ref="F73:G73"/>
    <mergeCell ref="B74:D74"/>
    <mergeCell ref="F74:G74"/>
    <mergeCell ref="A10:A12"/>
    <mergeCell ref="D10:F10"/>
    <mergeCell ref="F11:F12"/>
  </mergeCells>
  <pageMargins left="0.35433070866141736" right="0.11811023622047245" top="0.15748031496062992" bottom="0.11811023622047245" header="0" footer="0"/>
  <pageSetup paperSize="256" scale="94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H71"/>
  <sheetViews>
    <sheetView view="pageBreakPreview" topLeftCell="A10" zoomScaleNormal="100" zoomScaleSheetLayoutView="100" workbookViewId="0">
      <selection activeCell="C20" sqref="C20"/>
    </sheetView>
  </sheetViews>
  <sheetFormatPr defaultColWidth="9.28515625" defaultRowHeight="12.75" x14ac:dyDescent="0.2"/>
  <cols>
    <col min="1" max="1" width="36.7109375" style="15" customWidth="1"/>
    <col min="2" max="2" width="8.5703125" style="28" customWidth="1"/>
    <col min="3" max="3" width="18" style="28" customWidth="1"/>
    <col min="4" max="4" width="22.5703125" style="28" customWidth="1"/>
    <col min="5" max="5" width="11.28515625" style="28" customWidth="1"/>
    <col min="6" max="6" width="11" style="28" customWidth="1"/>
    <col min="7" max="7" width="11.28515625" style="28" customWidth="1"/>
    <col min="8" max="16384" width="9.28515625" style="3"/>
  </cols>
  <sheetData>
    <row r="1" spans="1:8" x14ac:dyDescent="0.2">
      <c r="A1" s="478" t="s">
        <v>344</v>
      </c>
      <c r="B1" s="471"/>
      <c r="C1" s="471"/>
      <c r="D1" s="471"/>
      <c r="E1" s="471"/>
      <c r="F1" s="471"/>
      <c r="G1" s="471"/>
    </row>
    <row r="2" spans="1:8" ht="13.5" customHeight="1" x14ac:dyDescent="0.2">
      <c r="A2" s="478" t="s">
        <v>345</v>
      </c>
      <c r="B2" s="479"/>
      <c r="C2" s="479"/>
      <c r="D2" s="479"/>
      <c r="E2" s="479"/>
      <c r="F2" s="479"/>
      <c r="G2" s="479"/>
    </row>
    <row r="3" spans="1:8" x14ac:dyDescent="0.2">
      <c r="A3" s="480" t="s">
        <v>346</v>
      </c>
      <c r="B3" s="479"/>
      <c r="C3" s="479"/>
      <c r="D3" s="479"/>
      <c r="E3" s="479"/>
      <c r="F3" s="479"/>
      <c r="G3" s="479"/>
    </row>
    <row r="4" spans="1:8" x14ac:dyDescent="0.2">
      <c r="A4" s="474"/>
      <c r="B4" s="474"/>
      <c r="C4" s="474"/>
      <c r="D4" s="474"/>
      <c r="E4" s="474"/>
      <c r="F4" s="474"/>
      <c r="G4" s="474"/>
    </row>
    <row r="5" spans="1:8" ht="20.25" customHeight="1" x14ac:dyDescent="0.25">
      <c r="A5" s="530" t="s">
        <v>347</v>
      </c>
      <c r="B5" s="530"/>
      <c r="C5" s="530"/>
      <c r="D5" s="530"/>
      <c r="E5" s="530"/>
      <c r="F5" s="530"/>
      <c r="G5" s="530"/>
    </row>
    <row r="6" spans="1:8" ht="15" x14ac:dyDescent="0.25">
      <c r="A6" s="481"/>
      <c r="B6" s="481"/>
      <c r="C6" s="481"/>
      <c r="D6" s="481"/>
      <c r="E6" s="481"/>
      <c r="F6" s="481"/>
      <c r="G6" s="481"/>
    </row>
    <row r="7" spans="1:8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485"/>
      <c r="H7" s="59"/>
    </row>
    <row r="8" spans="1:8" ht="24" x14ac:dyDescent="0.2">
      <c r="A8" s="486" t="s">
        <v>351</v>
      </c>
      <c r="B8" s="487" t="s">
        <v>352</v>
      </c>
      <c r="C8" s="488"/>
      <c r="D8" s="486" t="s">
        <v>358</v>
      </c>
      <c r="E8" s="489"/>
      <c r="F8" s="488"/>
      <c r="G8" s="488"/>
      <c r="H8" s="59"/>
    </row>
    <row r="9" spans="1:8" ht="13.5" thickBot="1" x14ac:dyDescent="0.25">
      <c r="A9" s="486" t="s">
        <v>354</v>
      </c>
      <c r="B9" s="487" t="s">
        <v>355</v>
      </c>
      <c r="C9" s="488"/>
      <c r="D9" s="488"/>
      <c r="E9" s="488"/>
      <c r="F9" s="488"/>
      <c r="G9" s="488"/>
      <c r="H9" s="59"/>
    </row>
    <row r="10" spans="1:8" ht="13.5" thickBot="1" x14ac:dyDescent="0.25">
      <c r="A10" s="525" t="s">
        <v>27</v>
      </c>
      <c r="B10" s="448" t="s">
        <v>15</v>
      </c>
      <c r="C10" s="448" t="s">
        <v>1</v>
      </c>
      <c r="D10" s="523" t="s">
        <v>329</v>
      </c>
      <c r="E10" s="523"/>
      <c r="F10" s="524"/>
      <c r="G10" s="444" t="s">
        <v>3</v>
      </c>
    </row>
    <row r="11" spans="1:8" x14ac:dyDescent="0.2">
      <c r="A11" s="526"/>
      <c r="B11" s="449" t="s">
        <v>0</v>
      </c>
      <c r="C11" s="449">
        <v>2022</v>
      </c>
      <c r="D11" s="245" t="s">
        <v>167</v>
      </c>
      <c r="E11" s="156" t="s">
        <v>168</v>
      </c>
      <c r="F11" s="525" t="s">
        <v>169</v>
      </c>
      <c r="G11" s="447">
        <v>2024</v>
      </c>
    </row>
    <row r="12" spans="1:8" x14ac:dyDescent="0.2">
      <c r="A12" s="526"/>
      <c r="B12" s="180"/>
      <c r="C12" s="449" t="s">
        <v>2</v>
      </c>
      <c r="D12" s="446" t="s">
        <v>2</v>
      </c>
      <c r="E12" s="449" t="s">
        <v>183</v>
      </c>
      <c r="F12" s="526"/>
      <c r="G12" s="447" t="s">
        <v>33</v>
      </c>
    </row>
    <row r="13" spans="1:8" ht="13.5" thickBot="1" x14ac:dyDescent="0.25">
      <c r="A13" s="451" t="s">
        <v>28</v>
      </c>
      <c r="B13" s="158" t="s">
        <v>29</v>
      </c>
      <c r="C13" s="158" t="s">
        <v>30</v>
      </c>
      <c r="D13" s="452" t="s">
        <v>31</v>
      </c>
      <c r="E13" s="158" t="s">
        <v>32</v>
      </c>
      <c r="F13" s="158" t="s">
        <v>170</v>
      </c>
      <c r="G13" s="453" t="s">
        <v>171</v>
      </c>
    </row>
    <row r="14" spans="1:8" x14ac:dyDescent="0.2">
      <c r="A14" s="163" t="s">
        <v>4</v>
      </c>
      <c r="B14" s="159"/>
      <c r="C14" s="159"/>
      <c r="D14" s="27"/>
      <c r="E14" s="159"/>
      <c r="F14" s="159"/>
      <c r="G14" s="141"/>
    </row>
    <row r="15" spans="1:8" x14ac:dyDescent="0.2">
      <c r="A15" s="163" t="s">
        <v>5</v>
      </c>
      <c r="B15" s="160"/>
      <c r="C15" s="285"/>
      <c r="D15" s="286"/>
      <c r="E15" s="285"/>
      <c r="F15" s="160"/>
      <c r="G15" s="142"/>
    </row>
    <row r="16" spans="1:8" x14ac:dyDescent="0.2">
      <c r="A16" s="136" t="s">
        <v>46</v>
      </c>
      <c r="B16" s="181" t="s">
        <v>100</v>
      </c>
      <c r="C16" s="161">
        <v>2421836.6</v>
      </c>
      <c r="D16" s="166">
        <v>1319760.3500000001</v>
      </c>
      <c r="E16" s="161">
        <f t="shared" ref="E16:E36" si="0">F16-D16</f>
        <v>1654239.65</v>
      </c>
      <c r="F16" s="281">
        <f>2650000+324000</f>
        <v>2974000</v>
      </c>
      <c r="G16" s="281">
        <v>3098000</v>
      </c>
    </row>
    <row r="17" spans="1:7" x14ac:dyDescent="0.2">
      <c r="A17" s="136" t="s">
        <v>48</v>
      </c>
      <c r="B17" s="181" t="s">
        <v>101</v>
      </c>
      <c r="C17" s="161">
        <v>174272.75</v>
      </c>
      <c r="D17" s="166">
        <v>95045.45</v>
      </c>
      <c r="E17" s="161">
        <f t="shared" si="0"/>
        <v>132954.54999999999</v>
      </c>
      <c r="F17" s="281">
        <f>192000+36000</f>
        <v>228000</v>
      </c>
      <c r="G17" s="281">
        <v>240000</v>
      </c>
    </row>
    <row r="18" spans="1:7" x14ac:dyDescent="0.2">
      <c r="A18" s="136" t="s">
        <v>40</v>
      </c>
      <c r="B18" s="181" t="s">
        <v>120</v>
      </c>
      <c r="C18" s="161">
        <v>81000</v>
      </c>
      <c r="D18" s="166">
        <v>40500</v>
      </c>
      <c r="E18" s="161">
        <f t="shared" si="0"/>
        <v>40500</v>
      </c>
      <c r="F18" s="281">
        <v>81000</v>
      </c>
      <c r="G18" s="281">
        <v>81000</v>
      </c>
    </row>
    <row r="19" spans="1:7" x14ac:dyDescent="0.2">
      <c r="A19" s="136" t="s">
        <v>41</v>
      </c>
      <c r="B19" s="181" t="s">
        <v>121</v>
      </c>
      <c r="C19" s="161">
        <v>81000</v>
      </c>
      <c r="D19" s="166">
        <v>40500</v>
      </c>
      <c r="E19" s="161">
        <f t="shared" si="0"/>
        <v>40500</v>
      </c>
      <c r="F19" s="281">
        <v>81000</v>
      </c>
      <c r="G19" s="281">
        <v>81000</v>
      </c>
    </row>
    <row r="20" spans="1:7" x14ac:dyDescent="0.2">
      <c r="A20" s="136" t="s">
        <v>42</v>
      </c>
      <c r="B20" s="181" t="s">
        <v>102</v>
      </c>
      <c r="C20" s="161">
        <v>42000</v>
      </c>
      <c r="D20" s="166">
        <v>48000</v>
      </c>
      <c r="E20" s="161">
        <f t="shared" si="0"/>
        <v>12000</v>
      </c>
      <c r="F20" s="281">
        <f>48000+12000</f>
        <v>60000</v>
      </c>
      <c r="G20" s="281">
        <v>60000</v>
      </c>
    </row>
    <row r="21" spans="1:7" x14ac:dyDescent="0.2">
      <c r="A21" s="136" t="s">
        <v>182</v>
      </c>
      <c r="B21" s="181" t="s">
        <v>158</v>
      </c>
      <c r="C21" s="196">
        <v>0</v>
      </c>
      <c r="D21" s="177">
        <v>0</v>
      </c>
      <c r="E21" s="161">
        <f t="shared" si="0"/>
        <v>0</v>
      </c>
      <c r="F21" s="420">
        <v>0</v>
      </c>
      <c r="G21" s="420">
        <v>0</v>
      </c>
    </row>
    <row r="22" spans="1:7" x14ac:dyDescent="0.2">
      <c r="A22" s="136" t="s">
        <v>34</v>
      </c>
      <c r="B22" s="181" t="s">
        <v>126</v>
      </c>
      <c r="C22" s="161">
        <v>149702.65</v>
      </c>
      <c r="D22" s="166">
        <v>86006.76</v>
      </c>
      <c r="E22" s="161">
        <f t="shared" si="0"/>
        <v>63993.240000000005</v>
      </c>
      <c r="F22" s="281">
        <v>150000</v>
      </c>
      <c r="G22" s="281">
        <v>150000</v>
      </c>
    </row>
    <row r="23" spans="1:7" x14ac:dyDescent="0.2">
      <c r="A23" s="136" t="s">
        <v>94</v>
      </c>
      <c r="B23" s="181" t="s">
        <v>104</v>
      </c>
      <c r="C23" s="161">
        <v>191773</v>
      </c>
      <c r="D23" s="166">
        <v>0</v>
      </c>
      <c r="E23" s="161">
        <f t="shared" si="0"/>
        <v>257000</v>
      </c>
      <c r="F23" s="281">
        <f>221000+36000</f>
        <v>257000</v>
      </c>
      <c r="G23" s="281">
        <v>259000</v>
      </c>
    </row>
    <row r="24" spans="1:7" x14ac:dyDescent="0.2">
      <c r="A24" s="136" t="s">
        <v>150</v>
      </c>
      <c r="B24" s="181" t="s">
        <v>127</v>
      </c>
      <c r="C24" s="161">
        <v>191773</v>
      </c>
      <c r="D24" s="166">
        <v>220625</v>
      </c>
      <c r="E24" s="161">
        <f t="shared" si="0"/>
        <v>36375</v>
      </c>
      <c r="F24" s="281">
        <f>221000+36000</f>
        <v>257000</v>
      </c>
      <c r="G24" s="281">
        <v>259000</v>
      </c>
    </row>
    <row r="25" spans="1:7" x14ac:dyDescent="0.2">
      <c r="A25" s="136" t="s">
        <v>10</v>
      </c>
      <c r="B25" s="181" t="s">
        <v>103</v>
      </c>
      <c r="C25" s="161">
        <v>31500</v>
      </c>
      <c r="D25" s="166">
        <v>0</v>
      </c>
      <c r="E25" s="161">
        <f t="shared" si="0"/>
        <v>50000</v>
      </c>
      <c r="F25" s="281">
        <f>40000+10000</f>
        <v>50000</v>
      </c>
      <c r="G25" s="281">
        <v>50000</v>
      </c>
    </row>
    <row r="26" spans="1:7" x14ac:dyDescent="0.2">
      <c r="A26" s="136" t="s">
        <v>160</v>
      </c>
      <c r="B26" s="181" t="s">
        <v>105</v>
      </c>
      <c r="C26" s="161">
        <v>292238.8</v>
      </c>
      <c r="D26" s="166">
        <v>158850</v>
      </c>
      <c r="E26" s="161">
        <f t="shared" si="0"/>
        <v>198150</v>
      </c>
      <c r="F26" s="281">
        <f>318000+39000</f>
        <v>357000</v>
      </c>
      <c r="G26" s="281">
        <v>372000</v>
      </c>
    </row>
    <row r="27" spans="1:7" x14ac:dyDescent="0.2">
      <c r="A27" s="136" t="s">
        <v>43</v>
      </c>
      <c r="B27" s="181" t="s">
        <v>106</v>
      </c>
      <c r="C27" s="161">
        <v>48845.760000000002</v>
      </c>
      <c r="D27" s="166">
        <v>26475</v>
      </c>
      <c r="E27" s="161">
        <f t="shared" si="0"/>
        <v>33125</v>
      </c>
      <c r="F27" s="281">
        <f>53000+6600</f>
        <v>59600</v>
      </c>
      <c r="G27" s="281">
        <v>62000</v>
      </c>
    </row>
    <row r="28" spans="1:7" ht="11.25" customHeight="1" x14ac:dyDescent="0.2">
      <c r="A28" s="136" t="s">
        <v>44</v>
      </c>
      <c r="B28" s="181" t="s">
        <v>107</v>
      </c>
      <c r="C28" s="161">
        <v>47704.06</v>
      </c>
      <c r="D28" s="166">
        <v>25695.599999999999</v>
      </c>
      <c r="E28" s="161">
        <f t="shared" si="0"/>
        <v>47404.4</v>
      </c>
      <c r="F28" s="281">
        <f>60000+13100</f>
        <v>73100</v>
      </c>
      <c r="G28" s="281">
        <v>78000</v>
      </c>
    </row>
    <row r="29" spans="1:7" x14ac:dyDescent="0.2">
      <c r="A29" s="136" t="s">
        <v>228</v>
      </c>
      <c r="B29" s="181"/>
      <c r="C29" s="161"/>
      <c r="D29" s="166"/>
      <c r="E29" s="161"/>
      <c r="F29" s="281"/>
      <c r="G29" s="281"/>
    </row>
    <row r="30" spans="1:7" x14ac:dyDescent="0.2">
      <c r="A30" s="136" t="s">
        <v>229</v>
      </c>
      <c r="B30" s="181" t="s">
        <v>108</v>
      </c>
      <c r="C30" s="161">
        <v>8700</v>
      </c>
      <c r="D30" s="166">
        <v>4800</v>
      </c>
      <c r="E30" s="161">
        <f t="shared" si="0"/>
        <v>6600</v>
      </c>
      <c r="F30" s="281">
        <f>9600+1800</f>
        <v>11400</v>
      </c>
      <c r="G30" s="281">
        <v>12000</v>
      </c>
    </row>
    <row r="31" spans="1:7" x14ac:dyDescent="0.2">
      <c r="A31" s="136" t="s">
        <v>45</v>
      </c>
      <c r="B31" s="181" t="s">
        <v>128</v>
      </c>
      <c r="C31" s="161">
        <v>241427.1</v>
      </c>
      <c r="D31" s="166">
        <v>84018.68</v>
      </c>
      <c r="E31" s="161">
        <f t="shared" si="0"/>
        <v>165981.32</v>
      </c>
      <c r="F31" s="281">
        <v>250000</v>
      </c>
      <c r="G31" s="281">
        <v>242000</v>
      </c>
    </row>
    <row r="32" spans="1:7" x14ac:dyDescent="0.2">
      <c r="A32" s="136" t="s">
        <v>60</v>
      </c>
      <c r="B32" s="181" t="s">
        <v>129</v>
      </c>
      <c r="C32" s="193">
        <v>34000</v>
      </c>
      <c r="D32" s="167">
        <v>0</v>
      </c>
      <c r="E32" s="161">
        <f t="shared" si="0"/>
        <v>50000</v>
      </c>
      <c r="F32" s="281">
        <f>40000+10000</f>
        <v>50000</v>
      </c>
      <c r="G32" s="281">
        <v>50000</v>
      </c>
    </row>
    <row r="33" spans="1:7" x14ac:dyDescent="0.2">
      <c r="A33" s="137" t="s">
        <v>72</v>
      </c>
      <c r="B33" s="181" t="s">
        <v>130</v>
      </c>
      <c r="C33" s="193">
        <v>0</v>
      </c>
      <c r="D33" s="167">
        <v>0</v>
      </c>
      <c r="E33" s="161">
        <f t="shared" si="0"/>
        <v>0</v>
      </c>
      <c r="F33" s="419">
        <v>0</v>
      </c>
      <c r="G33" s="281">
        <v>0</v>
      </c>
    </row>
    <row r="34" spans="1:7" x14ac:dyDescent="0.2">
      <c r="A34" s="137" t="s">
        <v>89</v>
      </c>
      <c r="B34" s="181" t="s">
        <v>131</v>
      </c>
      <c r="C34" s="193">
        <v>0</v>
      </c>
      <c r="D34" s="167">
        <v>0</v>
      </c>
      <c r="E34" s="161">
        <f t="shared" si="0"/>
        <v>0</v>
      </c>
      <c r="F34" s="193">
        <v>0</v>
      </c>
      <c r="G34" s="281">
        <v>0</v>
      </c>
    </row>
    <row r="35" spans="1:7" x14ac:dyDescent="0.2">
      <c r="A35" s="137" t="s">
        <v>260</v>
      </c>
      <c r="B35" s="184" t="s">
        <v>261</v>
      </c>
      <c r="C35" s="200">
        <v>200000</v>
      </c>
      <c r="D35" s="169">
        <v>0</v>
      </c>
      <c r="E35" s="161">
        <f t="shared" si="0"/>
        <v>0</v>
      </c>
      <c r="F35" s="200">
        <v>0</v>
      </c>
      <c r="G35" s="316">
        <v>0</v>
      </c>
    </row>
    <row r="36" spans="1:7" ht="13.5" thickBot="1" x14ac:dyDescent="0.25">
      <c r="A36" s="164" t="s">
        <v>293</v>
      </c>
      <c r="B36" s="182" t="s">
        <v>292</v>
      </c>
      <c r="C36" s="295">
        <v>132000</v>
      </c>
      <c r="D36" s="170">
        <v>0</v>
      </c>
      <c r="E36" s="161">
        <f t="shared" si="0"/>
        <v>0</v>
      </c>
      <c r="F36" s="295">
        <v>0</v>
      </c>
      <c r="G36" s="316">
        <v>0</v>
      </c>
    </row>
    <row r="37" spans="1:7" ht="13.5" thickBot="1" x14ac:dyDescent="0.25">
      <c r="A37" s="12" t="s">
        <v>75</v>
      </c>
      <c r="B37" s="72"/>
      <c r="C37" s="118">
        <f>SUM(C16:C36)</f>
        <v>4369773.72</v>
      </c>
      <c r="D37" s="117">
        <f>SUM(D16:D36)</f>
        <v>2150276.8400000003</v>
      </c>
      <c r="E37" s="118">
        <f>SUM(E16:E36)</f>
        <v>2788823.1599999997</v>
      </c>
      <c r="F37" s="118">
        <f>SUM(F16:F36)</f>
        <v>4939100</v>
      </c>
      <c r="G37" s="120">
        <f>SUM(G16:G36)</f>
        <v>5094000</v>
      </c>
    </row>
    <row r="38" spans="1:7" x14ac:dyDescent="0.2">
      <c r="A38" s="163" t="s">
        <v>7</v>
      </c>
      <c r="B38" s="183"/>
      <c r="C38" s="162"/>
      <c r="D38" s="171"/>
      <c r="E38" s="162"/>
      <c r="F38" s="162"/>
      <c r="G38" s="146"/>
    </row>
    <row r="39" spans="1:7" x14ac:dyDescent="0.2">
      <c r="A39" s="137" t="s">
        <v>8</v>
      </c>
      <c r="B39" s="181" t="s">
        <v>109</v>
      </c>
      <c r="C39" s="197">
        <v>199690</v>
      </c>
      <c r="D39" s="166">
        <v>95110</v>
      </c>
      <c r="E39" s="161">
        <f t="shared" ref="E39:E53" si="1">F39-D39</f>
        <v>104890</v>
      </c>
      <c r="F39" s="147">
        <v>200000</v>
      </c>
      <c r="G39" s="147">
        <v>300000</v>
      </c>
    </row>
    <row r="40" spans="1:7" x14ac:dyDescent="0.2">
      <c r="A40" s="137" t="s">
        <v>281</v>
      </c>
      <c r="B40" s="181" t="s">
        <v>110</v>
      </c>
      <c r="C40" s="197">
        <v>105950</v>
      </c>
      <c r="D40" s="166">
        <v>46000</v>
      </c>
      <c r="E40" s="161">
        <f t="shared" si="1"/>
        <v>74000</v>
      </c>
      <c r="F40" s="147">
        <v>120000</v>
      </c>
      <c r="G40" s="147">
        <v>120000</v>
      </c>
    </row>
    <row r="41" spans="1:7" x14ac:dyDescent="0.2">
      <c r="A41" s="137" t="s">
        <v>13</v>
      </c>
      <c r="B41" s="181" t="s">
        <v>111</v>
      </c>
      <c r="C41" s="197">
        <v>272810</v>
      </c>
      <c r="D41" s="166">
        <v>129300</v>
      </c>
      <c r="E41" s="161">
        <f t="shared" si="1"/>
        <v>158700</v>
      </c>
      <c r="F41" s="147">
        <v>288000</v>
      </c>
      <c r="G41" s="147">
        <v>338000</v>
      </c>
    </row>
    <row r="42" spans="1:7" x14ac:dyDescent="0.2">
      <c r="A42" s="136" t="s">
        <v>163</v>
      </c>
      <c r="B42" s="181" t="s">
        <v>122</v>
      </c>
      <c r="C42" s="199">
        <v>5940</v>
      </c>
      <c r="D42" s="166">
        <v>4352.25</v>
      </c>
      <c r="E42" s="161">
        <f t="shared" si="1"/>
        <v>11647.75</v>
      </c>
      <c r="F42" s="148">
        <v>16000</v>
      </c>
      <c r="G42" s="148">
        <v>66500</v>
      </c>
    </row>
    <row r="43" spans="1:7" x14ac:dyDescent="0.2">
      <c r="A43" s="136" t="s">
        <v>164</v>
      </c>
      <c r="B43" s="181" t="s">
        <v>112</v>
      </c>
      <c r="C43" s="197">
        <v>71920</v>
      </c>
      <c r="D43" s="166">
        <v>100650</v>
      </c>
      <c r="E43" s="161">
        <f t="shared" si="1"/>
        <v>119350</v>
      </c>
      <c r="F43" s="147">
        <v>220000</v>
      </c>
      <c r="G43" s="147">
        <v>123000</v>
      </c>
    </row>
    <row r="44" spans="1:7" x14ac:dyDescent="0.2">
      <c r="A44" s="136" t="s">
        <v>165</v>
      </c>
      <c r="B44" s="181" t="s">
        <v>113</v>
      </c>
      <c r="C44" s="197">
        <v>0</v>
      </c>
      <c r="D44" s="166">
        <v>0</v>
      </c>
      <c r="E44" s="161">
        <f t="shared" si="1"/>
        <v>0</v>
      </c>
      <c r="F44" s="147">
        <v>0</v>
      </c>
      <c r="G44" s="147">
        <v>0</v>
      </c>
    </row>
    <row r="45" spans="1:7" ht="11.25" customHeight="1" x14ac:dyDescent="0.2">
      <c r="A45" s="450" t="s">
        <v>166</v>
      </c>
      <c r="B45" s="181" t="s">
        <v>114</v>
      </c>
      <c r="C45" s="197">
        <v>37095.67</v>
      </c>
      <c r="D45" s="166">
        <v>17443</v>
      </c>
      <c r="E45" s="161">
        <f t="shared" si="1"/>
        <v>30557</v>
      </c>
      <c r="F45" s="147">
        <v>48000</v>
      </c>
      <c r="G45" s="147">
        <v>48000</v>
      </c>
    </row>
    <row r="46" spans="1:7" x14ac:dyDescent="0.2">
      <c r="A46" s="136" t="s">
        <v>239</v>
      </c>
      <c r="B46" s="181" t="s">
        <v>124</v>
      </c>
      <c r="C46" s="197">
        <v>60800</v>
      </c>
      <c r="D46" s="166">
        <v>1200</v>
      </c>
      <c r="E46" s="161">
        <f t="shared" si="1"/>
        <v>109800</v>
      </c>
      <c r="F46" s="147">
        <v>111000</v>
      </c>
      <c r="G46" s="147">
        <v>170000</v>
      </c>
    </row>
    <row r="47" spans="1:7" x14ac:dyDescent="0.2">
      <c r="A47" s="136" t="s">
        <v>207</v>
      </c>
      <c r="B47" s="181"/>
      <c r="C47" s="197"/>
      <c r="D47" s="166"/>
      <c r="E47" s="161"/>
      <c r="F47" s="147"/>
      <c r="G47" s="147"/>
    </row>
    <row r="48" spans="1:7" x14ac:dyDescent="0.2">
      <c r="A48" s="136" t="s">
        <v>208</v>
      </c>
      <c r="B48" s="181" t="s">
        <v>115</v>
      </c>
      <c r="C48" s="197">
        <v>3000</v>
      </c>
      <c r="D48" s="166">
        <v>4000</v>
      </c>
      <c r="E48" s="161">
        <f t="shared" si="1"/>
        <v>18000</v>
      </c>
      <c r="F48" s="147">
        <v>22000</v>
      </c>
      <c r="G48" s="147">
        <v>0</v>
      </c>
    </row>
    <row r="49" spans="1:7" x14ac:dyDescent="0.2">
      <c r="A49" s="136" t="s">
        <v>21</v>
      </c>
      <c r="B49" s="181" t="s">
        <v>144</v>
      </c>
      <c r="C49" s="197">
        <v>7500</v>
      </c>
      <c r="D49" s="166">
        <v>0</v>
      </c>
      <c r="E49" s="161">
        <f t="shared" si="1"/>
        <v>10000</v>
      </c>
      <c r="F49" s="147">
        <v>10000</v>
      </c>
      <c r="G49" s="147">
        <v>10000</v>
      </c>
    </row>
    <row r="50" spans="1:7" x14ac:dyDescent="0.2">
      <c r="A50" s="136" t="s">
        <v>64</v>
      </c>
      <c r="B50" s="181" t="s">
        <v>137</v>
      </c>
      <c r="C50" s="193">
        <v>13633</v>
      </c>
      <c r="D50" s="166">
        <v>3025</v>
      </c>
      <c r="E50" s="161">
        <f t="shared" si="1"/>
        <v>26975</v>
      </c>
      <c r="F50" s="149">
        <v>30000</v>
      </c>
      <c r="G50" s="149">
        <v>30000</v>
      </c>
    </row>
    <row r="51" spans="1:7" x14ac:dyDescent="0.2">
      <c r="A51" s="136" t="s">
        <v>221</v>
      </c>
      <c r="B51" s="181"/>
      <c r="C51" s="197"/>
      <c r="D51" s="166"/>
      <c r="E51" s="161"/>
      <c r="F51" s="147"/>
      <c r="G51" s="147"/>
    </row>
    <row r="52" spans="1:7" ht="11.25" customHeight="1" x14ac:dyDescent="0.2">
      <c r="A52" s="136" t="s">
        <v>222</v>
      </c>
      <c r="B52" s="181" t="s">
        <v>159</v>
      </c>
      <c r="C52" s="197">
        <v>10000</v>
      </c>
      <c r="D52" s="166">
        <v>300</v>
      </c>
      <c r="E52" s="161">
        <f t="shared" si="1"/>
        <v>9700</v>
      </c>
      <c r="F52" s="147">
        <v>10000</v>
      </c>
      <c r="G52" s="147">
        <v>35000</v>
      </c>
    </row>
    <row r="53" spans="1:7" ht="13.5" customHeight="1" x14ac:dyDescent="0.2">
      <c r="A53" s="136" t="s">
        <v>22</v>
      </c>
      <c r="B53" s="184" t="s">
        <v>116</v>
      </c>
      <c r="C53" s="277">
        <v>79530.66</v>
      </c>
      <c r="D53" s="166">
        <v>26150</v>
      </c>
      <c r="E53" s="161">
        <f t="shared" si="1"/>
        <v>36525</v>
      </c>
      <c r="F53" s="314">
        <v>62675</v>
      </c>
      <c r="G53" s="314">
        <v>180000</v>
      </c>
    </row>
    <row r="54" spans="1:7" ht="12.75" hidden="1" customHeight="1" x14ac:dyDescent="0.2">
      <c r="A54" s="12" t="s">
        <v>76</v>
      </c>
      <c r="B54" s="73"/>
      <c r="C54" s="51">
        <f>SUM(C39:C53)</f>
        <v>867869.33000000007</v>
      </c>
      <c r="D54" s="54">
        <f>SUM(D39:D53)</f>
        <v>427530.25</v>
      </c>
      <c r="E54" s="51">
        <f>SUM(E39:E53)</f>
        <v>710144.75</v>
      </c>
      <c r="F54" s="51">
        <f>SUM(F39:F53)</f>
        <v>1137675</v>
      </c>
      <c r="G54" s="66">
        <f>SUM(G39:G53)</f>
        <v>1420500</v>
      </c>
    </row>
    <row r="55" spans="1:7" ht="12.75" hidden="1" customHeight="1" x14ac:dyDescent="0.2">
      <c r="A55" s="163" t="s">
        <v>9</v>
      </c>
      <c r="B55" s="183"/>
      <c r="C55" s="162"/>
      <c r="D55" s="167"/>
      <c r="E55" s="162"/>
      <c r="F55" s="162"/>
      <c r="G55" s="146"/>
    </row>
    <row r="56" spans="1:7" ht="12.75" customHeight="1" x14ac:dyDescent="0.2">
      <c r="A56" s="137" t="s">
        <v>78</v>
      </c>
      <c r="B56" s="181" t="s">
        <v>117</v>
      </c>
      <c r="C56" s="161">
        <v>0</v>
      </c>
      <c r="D56" s="167">
        <v>0</v>
      </c>
      <c r="E56" s="161">
        <f>F56-D56</f>
        <v>0</v>
      </c>
      <c r="F56" s="161">
        <v>0</v>
      </c>
      <c r="G56" s="188">
        <v>80000</v>
      </c>
    </row>
    <row r="57" spans="1:7" x14ac:dyDescent="0.2">
      <c r="A57" s="136" t="s">
        <v>209</v>
      </c>
      <c r="B57" s="181"/>
      <c r="C57" s="161"/>
      <c r="D57" s="169"/>
      <c r="E57" s="161"/>
      <c r="F57" s="161"/>
      <c r="G57" s="188"/>
    </row>
    <row r="58" spans="1:7" ht="6" customHeight="1" x14ac:dyDescent="0.2">
      <c r="A58" s="136" t="s">
        <v>212</v>
      </c>
      <c r="B58" s="181" t="s">
        <v>125</v>
      </c>
      <c r="C58" s="161">
        <v>186000</v>
      </c>
      <c r="D58" s="166">
        <v>0</v>
      </c>
      <c r="E58" s="161">
        <f>F58-D58</f>
        <v>55000</v>
      </c>
      <c r="F58" s="161">
        <v>55000</v>
      </c>
      <c r="G58" s="188">
        <v>380000</v>
      </c>
    </row>
    <row r="59" spans="1:7" x14ac:dyDescent="0.2">
      <c r="A59" s="136" t="s">
        <v>79</v>
      </c>
      <c r="B59" s="181" t="s">
        <v>118</v>
      </c>
      <c r="C59" s="161">
        <v>0</v>
      </c>
      <c r="D59" s="166">
        <v>0</v>
      </c>
      <c r="E59" s="161">
        <v>0</v>
      </c>
      <c r="F59" s="161">
        <v>0</v>
      </c>
      <c r="G59" s="188">
        <v>0</v>
      </c>
    </row>
    <row r="60" spans="1:7" ht="13.5" thickBot="1" x14ac:dyDescent="0.25">
      <c r="A60" s="136" t="s">
        <v>253</v>
      </c>
      <c r="B60" s="181" t="s">
        <v>119</v>
      </c>
      <c r="C60" s="161">
        <v>0</v>
      </c>
      <c r="D60" s="166">
        <v>0</v>
      </c>
      <c r="E60" s="161">
        <f>F60-D60</f>
        <v>0</v>
      </c>
      <c r="F60" s="161">
        <v>0</v>
      </c>
      <c r="G60" s="188">
        <v>0</v>
      </c>
    </row>
    <row r="61" spans="1:7" ht="13.5" thickBot="1" x14ac:dyDescent="0.25">
      <c r="A61" s="12" t="s">
        <v>77</v>
      </c>
      <c r="B61" s="80"/>
      <c r="C61" s="52">
        <f>SUM(C56:C60)</f>
        <v>186000</v>
      </c>
      <c r="D61" s="68">
        <f>SUM(D56:D60)</f>
        <v>0</v>
      </c>
      <c r="E61" s="52">
        <f>SUM(E56:E60)</f>
        <v>55000</v>
      </c>
      <c r="F61" s="52">
        <f>SUM(F56:F60)</f>
        <v>55000</v>
      </c>
      <c r="G61" s="67">
        <f>SUM(G56:G60)</f>
        <v>460000</v>
      </c>
    </row>
    <row r="62" spans="1:7" ht="13.5" thickBot="1" x14ac:dyDescent="0.25">
      <c r="A62" s="5" t="s">
        <v>53</v>
      </c>
      <c r="B62" s="64"/>
      <c r="C62" s="51">
        <f>C37+C54+C61</f>
        <v>5423643.0499999998</v>
      </c>
      <c r="D62" s="66">
        <f>D37+D54+D61</f>
        <v>2577807.0900000003</v>
      </c>
      <c r="E62" s="70">
        <f>E37+E54+E61</f>
        <v>3553967.9099999997</v>
      </c>
      <c r="F62" s="51">
        <f>F37+F54+F61</f>
        <v>6131775</v>
      </c>
      <c r="G62" s="66">
        <f>G37+G54+G61</f>
        <v>6974500</v>
      </c>
    </row>
    <row r="63" spans="1:7" ht="13.5" thickBot="1" x14ac:dyDescent="0.25">
      <c r="A63" s="13" t="s">
        <v>53</v>
      </c>
      <c r="B63" s="32"/>
      <c r="C63" s="51">
        <f>C37+C54+C61</f>
        <v>5423643.0499999998</v>
      </c>
      <c r="D63" s="51">
        <f>D37+D54+D61</f>
        <v>2577807.0900000003</v>
      </c>
      <c r="E63" s="51">
        <f>E37+E54+E61</f>
        <v>3553967.9099999997</v>
      </c>
      <c r="F63" s="51">
        <f>F37+F54+F61</f>
        <v>6131775</v>
      </c>
      <c r="G63" s="127" t="e">
        <f>#REF!+G54+G61</f>
        <v>#REF!</v>
      </c>
    </row>
    <row r="64" spans="1:7" x14ac:dyDescent="0.2">
      <c r="A64" s="8"/>
      <c r="B64" s="25"/>
      <c r="C64" s="25"/>
      <c r="D64" s="25"/>
      <c r="E64" s="25"/>
      <c r="F64" s="25"/>
      <c r="G64" s="128"/>
    </row>
    <row r="65" spans="1:7" x14ac:dyDescent="0.2">
      <c r="A65" s="22" t="s">
        <v>225</v>
      </c>
      <c r="B65" s="22" t="s">
        <v>172</v>
      </c>
      <c r="C65" s="22"/>
      <c r="D65" s="15"/>
      <c r="E65" s="527" t="s">
        <v>16</v>
      </c>
      <c r="F65" s="527"/>
      <c r="G65" s="129"/>
    </row>
    <row r="66" spans="1:7" x14ac:dyDescent="0.2">
      <c r="A66" s="22"/>
      <c r="B66" s="15"/>
      <c r="C66" s="15"/>
      <c r="D66" s="15"/>
      <c r="E66" s="15"/>
      <c r="F66" s="15"/>
      <c r="G66" s="15"/>
    </row>
    <row r="67" spans="1:7" x14ac:dyDescent="0.2">
      <c r="A67" s="8"/>
      <c r="B67" s="23"/>
      <c r="C67" s="23"/>
      <c r="D67" s="23"/>
      <c r="E67" s="23"/>
      <c r="F67" s="4"/>
      <c r="G67" s="8"/>
    </row>
    <row r="68" spans="1:7" x14ac:dyDescent="0.2">
      <c r="A68" s="440" t="s">
        <v>227</v>
      </c>
      <c r="B68" s="528" t="s">
        <v>259</v>
      </c>
      <c r="C68" s="528"/>
      <c r="D68" s="528"/>
      <c r="E68" s="23"/>
      <c r="F68" s="529" t="s">
        <v>271</v>
      </c>
      <c r="G68" s="529"/>
    </row>
    <row r="69" spans="1:7" x14ac:dyDescent="0.2">
      <c r="A69" s="441" t="s">
        <v>35</v>
      </c>
      <c r="B69" s="518" t="s">
        <v>270</v>
      </c>
      <c r="C69" s="518"/>
      <c r="D69" s="518"/>
      <c r="E69" s="15"/>
      <c r="F69" s="519" t="s">
        <v>51</v>
      </c>
      <c r="G69" s="519"/>
    </row>
    <row r="70" spans="1:7" x14ac:dyDescent="0.2">
      <c r="A70" s="441"/>
      <c r="B70" s="442"/>
      <c r="C70" s="442"/>
      <c r="D70" s="442"/>
      <c r="E70" s="15"/>
      <c r="F70" s="441"/>
      <c r="G70" s="441"/>
    </row>
    <row r="71" spans="1:7" x14ac:dyDescent="0.2">
      <c r="A71" s="441"/>
      <c r="B71" s="442"/>
      <c r="C71" s="442"/>
      <c r="D71" s="442"/>
      <c r="E71" s="15"/>
      <c r="F71" s="441"/>
      <c r="G71" s="441"/>
    </row>
  </sheetData>
  <mergeCells count="9">
    <mergeCell ref="B68:D68"/>
    <mergeCell ref="A5:G5"/>
    <mergeCell ref="F68:G68"/>
    <mergeCell ref="B69:D69"/>
    <mergeCell ref="F69:G69"/>
    <mergeCell ref="A10:A12"/>
    <mergeCell ref="D10:F10"/>
    <mergeCell ref="F11:F12"/>
    <mergeCell ref="E65:F65"/>
  </mergeCells>
  <pageMargins left="0.23622047244094491" right="7.874015748031496E-2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</sheetPr>
  <dimension ref="A1:H69"/>
  <sheetViews>
    <sheetView view="pageBreakPreview" topLeftCell="A7" zoomScaleNormal="100" zoomScaleSheetLayoutView="100" workbookViewId="0">
      <selection activeCell="A14" sqref="A14"/>
    </sheetView>
  </sheetViews>
  <sheetFormatPr defaultColWidth="9.28515625" defaultRowHeight="12.75" x14ac:dyDescent="0.2"/>
  <cols>
    <col min="1" max="1" width="36.7109375" style="15" customWidth="1"/>
    <col min="2" max="2" width="8.5703125" style="28" customWidth="1"/>
    <col min="3" max="3" width="18.7109375" style="28" customWidth="1"/>
    <col min="4" max="4" width="18.140625" style="28" customWidth="1"/>
    <col min="5" max="5" width="11.28515625" style="28" customWidth="1"/>
    <col min="6" max="6" width="11" style="28" customWidth="1"/>
    <col min="7" max="7" width="11.28515625" style="28" customWidth="1"/>
    <col min="8" max="16384" width="9.28515625" style="3"/>
  </cols>
  <sheetData>
    <row r="1" spans="1:8" ht="12.75" customHeight="1" x14ac:dyDescent="0.2">
      <c r="A1" s="478" t="s">
        <v>344</v>
      </c>
      <c r="B1" s="471"/>
      <c r="C1" s="471"/>
      <c r="D1" s="471"/>
      <c r="E1" s="471"/>
      <c r="F1" s="471"/>
      <c r="G1" s="471"/>
    </row>
    <row r="2" spans="1:8" x14ac:dyDescent="0.2">
      <c r="A2" s="478" t="s">
        <v>345</v>
      </c>
      <c r="B2" s="479"/>
      <c r="C2" s="479"/>
      <c r="D2" s="479"/>
      <c r="E2" s="479"/>
      <c r="F2" s="479"/>
      <c r="G2" s="479"/>
    </row>
    <row r="3" spans="1:8" x14ac:dyDescent="0.2">
      <c r="A3" s="480" t="s">
        <v>346</v>
      </c>
      <c r="B3" s="479"/>
      <c r="C3" s="479"/>
      <c r="D3" s="479"/>
      <c r="E3" s="479"/>
      <c r="F3" s="479"/>
      <c r="G3" s="479"/>
    </row>
    <row r="4" spans="1:8" ht="18" customHeight="1" x14ac:dyDescent="0.2">
      <c r="A4" s="474"/>
      <c r="B4" s="474"/>
      <c r="C4" s="474"/>
      <c r="D4" s="474"/>
      <c r="E4" s="474"/>
      <c r="F4" s="474"/>
      <c r="G4" s="474"/>
    </row>
    <row r="5" spans="1:8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8" ht="15" x14ac:dyDescent="0.25">
      <c r="A6" s="481"/>
      <c r="B6" s="481"/>
      <c r="C6" s="481"/>
      <c r="D6" s="481"/>
      <c r="E6" s="481"/>
      <c r="F6" s="481"/>
      <c r="G6" s="481"/>
    </row>
    <row r="7" spans="1:8" ht="27" customHeight="1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485"/>
      <c r="G7" s="485"/>
      <c r="H7" s="59"/>
    </row>
    <row r="8" spans="1:8" ht="24" customHeight="1" x14ac:dyDescent="0.2">
      <c r="A8" s="486" t="s">
        <v>351</v>
      </c>
      <c r="B8" s="487" t="s">
        <v>352</v>
      </c>
      <c r="C8" s="488"/>
      <c r="D8" s="486" t="s">
        <v>359</v>
      </c>
      <c r="E8" s="489"/>
      <c r="F8" s="488"/>
      <c r="G8" s="488"/>
      <c r="H8" s="59"/>
    </row>
    <row r="9" spans="1:8" ht="13.5" thickBot="1" x14ac:dyDescent="0.25">
      <c r="A9" s="486" t="s">
        <v>354</v>
      </c>
      <c r="B9" s="487" t="s">
        <v>355</v>
      </c>
      <c r="C9" s="488"/>
      <c r="D9" s="488"/>
      <c r="E9" s="488"/>
      <c r="F9" s="488"/>
      <c r="G9" s="488"/>
      <c r="H9" s="59"/>
    </row>
    <row r="10" spans="1:8" ht="13.5" thickBot="1" x14ac:dyDescent="0.25">
      <c r="A10" s="520" t="s">
        <v>27</v>
      </c>
      <c r="B10" s="448" t="s">
        <v>15</v>
      </c>
      <c r="C10" s="443" t="s">
        <v>1</v>
      </c>
      <c r="D10" s="522" t="s">
        <v>329</v>
      </c>
      <c r="E10" s="523"/>
      <c r="F10" s="524"/>
      <c r="G10" s="444" t="s">
        <v>3</v>
      </c>
    </row>
    <row r="11" spans="1:8" x14ac:dyDescent="0.2">
      <c r="A11" s="521"/>
      <c r="B11" s="449" t="s">
        <v>0</v>
      </c>
      <c r="C11" s="446">
        <v>2022</v>
      </c>
      <c r="D11" s="156" t="s">
        <v>167</v>
      </c>
      <c r="E11" s="245" t="s">
        <v>168</v>
      </c>
      <c r="F11" s="525" t="s">
        <v>169</v>
      </c>
      <c r="G11" s="447">
        <v>2024</v>
      </c>
    </row>
    <row r="12" spans="1:8" x14ac:dyDescent="0.2">
      <c r="A12" s="521"/>
      <c r="B12" s="180"/>
      <c r="C12" s="446" t="s">
        <v>2</v>
      </c>
      <c r="D12" s="449" t="s">
        <v>2</v>
      </c>
      <c r="E12" s="446" t="s">
        <v>183</v>
      </c>
      <c r="F12" s="526"/>
      <c r="G12" s="447" t="s">
        <v>33</v>
      </c>
    </row>
    <row r="13" spans="1:8" ht="13.5" thickBot="1" x14ac:dyDescent="0.25">
      <c r="A13" s="451" t="s">
        <v>28</v>
      </c>
      <c r="B13" s="158" t="s">
        <v>29</v>
      </c>
      <c r="C13" s="452" t="s">
        <v>30</v>
      </c>
      <c r="D13" s="158" t="s">
        <v>31</v>
      </c>
      <c r="E13" s="452" t="s">
        <v>32</v>
      </c>
      <c r="F13" s="158" t="s">
        <v>170</v>
      </c>
      <c r="G13" s="453" t="s">
        <v>171</v>
      </c>
    </row>
    <row r="14" spans="1:8" x14ac:dyDescent="0.2">
      <c r="A14" s="163" t="s">
        <v>4</v>
      </c>
      <c r="B14" s="159"/>
      <c r="C14" s="27"/>
      <c r="D14" s="159"/>
      <c r="E14" s="27"/>
      <c r="F14" s="159"/>
      <c r="G14" s="141"/>
    </row>
    <row r="15" spans="1:8" x14ac:dyDescent="0.2">
      <c r="A15" s="163" t="s">
        <v>5</v>
      </c>
      <c r="B15" s="160"/>
      <c r="C15" s="27"/>
      <c r="D15" s="159"/>
      <c r="E15" s="27"/>
      <c r="F15" s="159"/>
      <c r="G15" s="142"/>
    </row>
    <row r="16" spans="1:8" x14ac:dyDescent="0.2">
      <c r="A16" s="136" t="s">
        <v>39</v>
      </c>
      <c r="B16" s="181" t="s">
        <v>100</v>
      </c>
      <c r="C16" s="166">
        <v>1998222.33</v>
      </c>
      <c r="D16" s="161">
        <v>1023392.16</v>
      </c>
      <c r="E16" s="166">
        <f t="shared" ref="E16:E35" si="0">F16-D16</f>
        <v>1311607.8399999999</v>
      </c>
      <c r="F16" s="376">
        <v>2335000</v>
      </c>
      <c r="G16" s="281">
        <v>2428000</v>
      </c>
    </row>
    <row r="17" spans="1:7" x14ac:dyDescent="0.2">
      <c r="A17" s="136" t="s">
        <v>48</v>
      </c>
      <c r="B17" s="181" t="s">
        <v>101</v>
      </c>
      <c r="C17" s="166">
        <v>164441.34</v>
      </c>
      <c r="D17" s="161">
        <v>78272.639999999999</v>
      </c>
      <c r="E17" s="166">
        <f t="shared" si="0"/>
        <v>125727.36</v>
      </c>
      <c r="F17" s="376">
        <f>168000+36000</f>
        <v>204000</v>
      </c>
      <c r="G17" s="281">
        <v>216000</v>
      </c>
    </row>
    <row r="18" spans="1:7" x14ac:dyDescent="0.2">
      <c r="A18" s="136" t="s">
        <v>40</v>
      </c>
      <c r="B18" s="181" t="s">
        <v>120</v>
      </c>
      <c r="C18" s="166">
        <v>81000</v>
      </c>
      <c r="D18" s="161">
        <v>40500</v>
      </c>
      <c r="E18" s="166">
        <f t="shared" si="0"/>
        <v>40500</v>
      </c>
      <c r="F18" s="376">
        <v>81000</v>
      </c>
      <c r="G18" s="281">
        <v>81000</v>
      </c>
    </row>
    <row r="19" spans="1:7" x14ac:dyDescent="0.2">
      <c r="A19" s="136" t="s">
        <v>41</v>
      </c>
      <c r="B19" s="181" t="s">
        <v>121</v>
      </c>
      <c r="C19" s="166">
        <v>81000</v>
      </c>
      <c r="D19" s="161">
        <v>40500</v>
      </c>
      <c r="E19" s="166">
        <f t="shared" si="0"/>
        <v>40500</v>
      </c>
      <c r="F19" s="376">
        <v>81000</v>
      </c>
      <c r="G19" s="281">
        <v>81000</v>
      </c>
    </row>
    <row r="20" spans="1:7" x14ac:dyDescent="0.2">
      <c r="A20" s="136" t="s">
        <v>42</v>
      </c>
      <c r="B20" s="181" t="s">
        <v>102</v>
      </c>
      <c r="C20" s="166">
        <v>42000</v>
      </c>
      <c r="D20" s="161">
        <v>42000</v>
      </c>
      <c r="E20" s="166">
        <f t="shared" si="0"/>
        <v>12000</v>
      </c>
      <c r="F20" s="376">
        <f>42000+12000</f>
        <v>54000</v>
      </c>
      <c r="G20" s="281">
        <v>54000</v>
      </c>
    </row>
    <row r="21" spans="1:7" x14ac:dyDescent="0.2">
      <c r="A21" s="136" t="s">
        <v>182</v>
      </c>
      <c r="B21" s="181" t="s">
        <v>158</v>
      </c>
      <c r="C21" s="168">
        <v>0</v>
      </c>
      <c r="D21" s="198">
        <v>0</v>
      </c>
      <c r="E21" s="166">
        <f t="shared" si="0"/>
        <v>0</v>
      </c>
      <c r="F21" s="198">
        <v>0</v>
      </c>
      <c r="G21" s="198">
        <v>0</v>
      </c>
    </row>
    <row r="22" spans="1:7" x14ac:dyDescent="0.2">
      <c r="A22" s="136" t="s">
        <v>94</v>
      </c>
      <c r="B22" s="181" t="s">
        <v>104</v>
      </c>
      <c r="C22" s="166">
        <v>170781</v>
      </c>
      <c r="D22" s="161">
        <v>0</v>
      </c>
      <c r="E22" s="166">
        <f t="shared" si="0"/>
        <v>201000</v>
      </c>
      <c r="F22" s="376">
        <v>201000</v>
      </c>
      <c r="G22" s="281">
        <v>203000</v>
      </c>
    </row>
    <row r="23" spans="1:7" x14ac:dyDescent="0.2">
      <c r="A23" s="136" t="s">
        <v>150</v>
      </c>
      <c r="B23" s="181" t="s">
        <v>127</v>
      </c>
      <c r="C23" s="166">
        <v>170781</v>
      </c>
      <c r="D23" s="161">
        <v>175884</v>
      </c>
      <c r="E23" s="166">
        <f t="shared" si="0"/>
        <v>25116</v>
      </c>
      <c r="F23" s="376">
        <v>201000</v>
      </c>
      <c r="G23" s="281">
        <v>203000</v>
      </c>
    </row>
    <row r="24" spans="1:7" x14ac:dyDescent="0.2">
      <c r="A24" s="136" t="s">
        <v>10</v>
      </c>
      <c r="B24" s="181" t="s">
        <v>103</v>
      </c>
      <c r="C24" s="166">
        <v>35000</v>
      </c>
      <c r="D24" s="161">
        <v>0</v>
      </c>
      <c r="E24" s="166">
        <f t="shared" si="0"/>
        <v>45000</v>
      </c>
      <c r="F24" s="376">
        <f>35000+10000</f>
        <v>45000</v>
      </c>
      <c r="G24" s="281">
        <v>45000</v>
      </c>
    </row>
    <row r="25" spans="1:7" x14ac:dyDescent="0.2">
      <c r="A25" s="136" t="s">
        <v>160</v>
      </c>
      <c r="B25" s="181" t="s">
        <v>105</v>
      </c>
      <c r="C25" s="166">
        <v>245395.47</v>
      </c>
      <c r="D25" s="161">
        <v>126636.48</v>
      </c>
      <c r="E25" s="166">
        <f t="shared" si="0"/>
        <v>153863.52000000002</v>
      </c>
      <c r="F25" s="376">
        <v>280500</v>
      </c>
      <c r="G25" s="281">
        <v>292000</v>
      </c>
    </row>
    <row r="26" spans="1:7" x14ac:dyDescent="0.2">
      <c r="A26" s="136" t="s">
        <v>43</v>
      </c>
      <c r="B26" s="181" t="s">
        <v>106</v>
      </c>
      <c r="C26" s="166">
        <v>40987.440000000002</v>
      </c>
      <c r="D26" s="161">
        <v>21106.080000000002</v>
      </c>
      <c r="E26" s="166">
        <f t="shared" si="0"/>
        <v>25993.919999999998</v>
      </c>
      <c r="F26" s="376">
        <v>47100</v>
      </c>
      <c r="G26" s="281">
        <v>49000</v>
      </c>
    </row>
    <row r="27" spans="1:7" ht="11.25" customHeight="1" x14ac:dyDescent="0.2">
      <c r="A27" s="136" t="s">
        <v>44</v>
      </c>
      <c r="B27" s="181" t="s">
        <v>107</v>
      </c>
      <c r="C27" s="166">
        <v>39840.68</v>
      </c>
      <c r="D27" s="161">
        <v>20493.36</v>
      </c>
      <c r="E27" s="166">
        <f t="shared" si="0"/>
        <v>36506.639999999999</v>
      </c>
      <c r="F27" s="376">
        <v>57000</v>
      </c>
      <c r="G27" s="281">
        <v>61000</v>
      </c>
    </row>
    <row r="28" spans="1:7" x14ac:dyDescent="0.2">
      <c r="A28" s="136" t="s">
        <v>188</v>
      </c>
      <c r="B28" s="181"/>
      <c r="C28" s="166"/>
      <c r="D28" s="161"/>
      <c r="E28" s="166"/>
      <c r="F28" s="376"/>
      <c r="G28" s="281"/>
    </row>
    <row r="29" spans="1:7" x14ac:dyDescent="0.2">
      <c r="A29" s="136" t="s">
        <v>189</v>
      </c>
      <c r="B29" s="181" t="s">
        <v>108</v>
      </c>
      <c r="C29" s="166">
        <v>8500</v>
      </c>
      <c r="D29" s="161">
        <v>4200</v>
      </c>
      <c r="E29" s="166">
        <f t="shared" si="0"/>
        <v>6000</v>
      </c>
      <c r="F29" s="376">
        <v>10200</v>
      </c>
      <c r="G29" s="281">
        <v>11000</v>
      </c>
    </row>
    <row r="30" spans="1:7" x14ac:dyDescent="0.2">
      <c r="A30" s="136" t="s">
        <v>70</v>
      </c>
      <c r="B30" s="181" t="s">
        <v>128</v>
      </c>
      <c r="C30" s="166">
        <v>94412.53</v>
      </c>
      <c r="D30" s="161">
        <v>73052.899999999994</v>
      </c>
      <c r="E30" s="166">
        <f t="shared" si="0"/>
        <v>76947.100000000006</v>
      </c>
      <c r="F30" s="376">
        <v>150000</v>
      </c>
      <c r="G30" s="281">
        <v>144000</v>
      </c>
    </row>
    <row r="31" spans="1:7" x14ac:dyDescent="0.2">
      <c r="A31" s="136" t="s">
        <v>71</v>
      </c>
      <c r="B31" s="181" t="s">
        <v>129</v>
      </c>
      <c r="C31" s="167">
        <v>35000</v>
      </c>
      <c r="D31" s="193">
        <v>0</v>
      </c>
      <c r="E31" s="166">
        <f t="shared" si="0"/>
        <v>45000</v>
      </c>
      <c r="F31" s="376">
        <v>45000</v>
      </c>
      <c r="G31" s="281">
        <v>45000</v>
      </c>
    </row>
    <row r="32" spans="1:7" x14ac:dyDescent="0.2">
      <c r="A32" s="137" t="s">
        <v>87</v>
      </c>
      <c r="B32" s="181" t="s">
        <v>130</v>
      </c>
      <c r="C32" s="167">
        <v>5000</v>
      </c>
      <c r="D32" s="193">
        <v>0</v>
      </c>
      <c r="E32" s="166">
        <f t="shared" si="0"/>
        <v>0</v>
      </c>
      <c r="F32" s="193">
        <v>0</v>
      </c>
      <c r="G32" s="281">
        <v>0</v>
      </c>
    </row>
    <row r="33" spans="1:7" x14ac:dyDescent="0.2">
      <c r="A33" s="137" t="s">
        <v>89</v>
      </c>
      <c r="B33" s="181" t="s">
        <v>131</v>
      </c>
      <c r="C33" s="167">
        <v>0</v>
      </c>
      <c r="D33" s="193">
        <v>0</v>
      </c>
      <c r="E33" s="166">
        <f t="shared" si="0"/>
        <v>0</v>
      </c>
      <c r="F33" s="193">
        <v>0</v>
      </c>
      <c r="G33" s="281">
        <v>0</v>
      </c>
    </row>
    <row r="34" spans="1:7" ht="12" customHeight="1" x14ac:dyDescent="0.2">
      <c r="A34" s="137" t="s">
        <v>260</v>
      </c>
      <c r="B34" s="184" t="s">
        <v>261</v>
      </c>
      <c r="C34" s="169">
        <v>175000</v>
      </c>
      <c r="D34" s="200">
        <v>0</v>
      </c>
      <c r="E34" s="166">
        <f t="shared" si="0"/>
        <v>0</v>
      </c>
      <c r="F34" s="200">
        <v>0</v>
      </c>
      <c r="G34" s="155">
        <v>0</v>
      </c>
    </row>
    <row r="35" spans="1:7" ht="12" customHeight="1" thickBot="1" x14ac:dyDescent="0.25">
      <c r="A35" s="164" t="s">
        <v>293</v>
      </c>
      <c r="B35" s="182" t="s">
        <v>292</v>
      </c>
      <c r="C35" s="170">
        <v>140000</v>
      </c>
      <c r="D35" s="295">
        <v>0</v>
      </c>
      <c r="E35" s="166">
        <f t="shared" si="0"/>
        <v>0</v>
      </c>
      <c r="F35" s="295">
        <v>0</v>
      </c>
      <c r="G35" s="155">
        <v>0</v>
      </c>
    </row>
    <row r="36" spans="1:7" ht="12" customHeight="1" thickBot="1" x14ac:dyDescent="0.25">
      <c r="A36" s="12" t="s">
        <v>75</v>
      </c>
      <c r="B36" s="72"/>
      <c r="C36" s="117">
        <f>SUM(C16:C35)</f>
        <v>3527361.79</v>
      </c>
      <c r="D36" s="118">
        <f>SUM(D16:D35)</f>
        <v>1646037.62</v>
      </c>
      <c r="E36" s="117">
        <f>SUM(E16:E35)</f>
        <v>2145762.38</v>
      </c>
      <c r="F36" s="394">
        <f>SUM(F16:F35)</f>
        <v>3791800</v>
      </c>
      <c r="G36" s="120">
        <f>SUM(G16:G35)</f>
        <v>3913000</v>
      </c>
    </row>
    <row r="37" spans="1:7" ht="12" customHeight="1" x14ac:dyDescent="0.2">
      <c r="A37" s="163" t="s">
        <v>7</v>
      </c>
      <c r="B37" s="183"/>
      <c r="C37" s="171"/>
      <c r="D37" s="162"/>
      <c r="E37" s="171"/>
      <c r="F37" s="380"/>
      <c r="G37" s="146"/>
    </row>
    <row r="38" spans="1:7" x14ac:dyDescent="0.2">
      <c r="A38" s="137" t="s">
        <v>8</v>
      </c>
      <c r="B38" s="181" t="s">
        <v>109</v>
      </c>
      <c r="C38" s="166">
        <v>157669.48000000001</v>
      </c>
      <c r="D38" s="161">
        <v>38270</v>
      </c>
      <c r="E38" s="166">
        <f t="shared" ref="E38:E51" si="1">F38-D38</f>
        <v>121730</v>
      </c>
      <c r="F38" s="381">
        <v>160000</v>
      </c>
      <c r="G38" s="188">
        <v>235000</v>
      </c>
    </row>
    <row r="39" spans="1:7" x14ac:dyDescent="0.2">
      <c r="A39" s="137" t="s">
        <v>281</v>
      </c>
      <c r="B39" s="181" t="s">
        <v>110</v>
      </c>
      <c r="C39" s="166">
        <v>73600</v>
      </c>
      <c r="D39" s="161">
        <v>16000</v>
      </c>
      <c r="E39" s="166">
        <f t="shared" si="1"/>
        <v>64000</v>
      </c>
      <c r="F39" s="381">
        <v>80000</v>
      </c>
      <c r="G39" s="188">
        <v>80000</v>
      </c>
    </row>
    <row r="40" spans="1:7" x14ac:dyDescent="0.2">
      <c r="A40" s="137" t="s">
        <v>13</v>
      </c>
      <c r="B40" s="181" t="s">
        <v>111</v>
      </c>
      <c r="C40" s="166">
        <v>107140</v>
      </c>
      <c r="D40" s="161">
        <v>21420</v>
      </c>
      <c r="E40" s="166">
        <f t="shared" si="1"/>
        <v>98580</v>
      </c>
      <c r="F40" s="381">
        <v>120000</v>
      </c>
      <c r="G40" s="188">
        <v>120000</v>
      </c>
    </row>
    <row r="41" spans="1:7" x14ac:dyDescent="0.2">
      <c r="A41" s="136" t="s">
        <v>163</v>
      </c>
      <c r="B41" s="181" t="s">
        <v>122</v>
      </c>
      <c r="C41" s="166">
        <v>41940</v>
      </c>
      <c r="D41" s="161">
        <v>0</v>
      </c>
      <c r="E41" s="166">
        <f t="shared" si="1"/>
        <v>20000</v>
      </c>
      <c r="F41" s="381">
        <v>20000</v>
      </c>
      <c r="G41" s="188">
        <v>45000</v>
      </c>
    </row>
    <row r="42" spans="1:7" x14ac:dyDescent="0.2">
      <c r="A42" s="136" t="s">
        <v>164</v>
      </c>
      <c r="B42" s="181" t="s">
        <v>112</v>
      </c>
      <c r="C42" s="166">
        <v>45850</v>
      </c>
      <c r="D42" s="161">
        <v>8440</v>
      </c>
      <c r="E42" s="166">
        <f t="shared" si="1"/>
        <v>46760</v>
      </c>
      <c r="F42" s="381">
        <v>55200</v>
      </c>
      <c r="G42" s="188">
        <v>190000</v>
      </c>
    </row>
    <row r="43" spans="1:7" ht="11.25" customHeight="1" x14ac:dyDescent="0.2">
      <c r="A43" s="136" t="s">
        <v>165</v>
      </c>
      <c r="B43" s="181" t="s">
        <v>113</v>
      </c>
      <c r="C43" s="166">
        <v>0</v>
      </c>
      <c r="D43" s="161">
        <v>0</v>
      </c>
      <c r="E43" s="166">
        <f t="shared" si="1"/>
        <v>10000</v>
      </c>
      <c r="F43" s="381">
        <v>10000</v>
      </c>
      <c r="G43" s="188">
        <v>10000</v>
      </c>
    </row>
    <row r="44" spans="1:7" x14ac:dyDescent="0.2">
      <c r="A44" s="136" t="s">
        <v>166</v>
      </c>
      <c r="B44" s="181" t="s">
        <v>114</v>
      </c>
      <c r="C44" s="166">
        <v>38267.97</v>
      </c>
      <c r="D44" s="161">
        <v>11621</v>
      </c>
      <c r="E44" s="166">
        <f t="shared" si="1"/>
        <v>36379</v>
      </c>
      <c r="F44" s="381">
        <v>48000</v>
      </c>
      <c r="G44" s="188">
        <v>48000</v>
      </c>
    </row>
    <row r="45" spans="1:7" x14ac:dyDescent="0.2">
      <c r="A45" s="136" t="s">
        <v>239</v>
      </c>
      <c r="B45" s="181" t="s">
        <v>124</v>
      </c>
      <c r="C45" s="166">
        <v>0</v>
      </c>
      <c r="D45" s="161">
        <v>700</v>
      </c>
      <c r="E45" s="166">
        <f t="shared" si="1"/>
        <v>9300</v>
      </c>
      <c r="F45" s="381">
        <v>10000</v>
      </c>
      <c r="G45" s="188">
        <v>27500</v>
      </c>
    </row>
    <row r="46" spans="1:7" ht="15" customHeight="1" x14ac:dyDescent="0.2">
      <c r="A46" s="136" t="s">
        <v>204</v>
      </c>
      <c r="B46" s="181"/>
      <c r="C46" s="166"/>
      <c r="D46" s="161"/>
      <c r="E46" s="166"/>
      <c r="F46" s="381"/>
      <c r="G46" s="188"/>
    </row>
    <row r="47" spans="1:7" ht="12.75" customHeight="1" x14ac:dyDescent="0.2">
      <c r="A47" s="136" t="s">
        <v>213</v>
      </c>
      <c r="B47" s="181" t="s">
        <v>115</v>
      </c>
      <c r="C47" s="166">
        <v>0</v>
      </c>
      <c r="D47" s="161">
        <v>2000</v>
      </c>
      <c r="E47" s="166">
        <f t="shared" si="1"/>
        <v>3000</v>
      </c>
      <c r="F47" s="381">
        <v>5000</v>
      </c>
      <c r="G47" s="188">
        <v>0</v>
      </c>
    </row>
    <row r="48" spans="1:7" x14ac:dyDescent="0.2">
      <c r="A48" s="136" t="s">
        <v>64</v>
      </c>
      <c r="B48" s="181" t="s">
        <v>137</v>
      </c>
      <c r="C48" s="167">
        <v>0</v>
      </c>
      <c r="D48" s="193">
        <v>15000</v>
      </c>
      <c r="E48" s="166">
        <f t="shared" si="1"/>
        <v>0</v>
      </c>
      <c r="F48" s="382">
        <v>15000</v>
      </c>
      <c r="G48" s="149">
        <v>30000</v>
      </c>
    </row>
    <row r="49" spans="1:7" x14ac:dyDescent="0.2">
      <c r="A49" s="136" t="s">
        <v>200</v>
      </c>
      <c r="B49" s="184"/>
      <c r="C49" s="169"/>
      <c r="D49" s="200"/>
      <c r="E49" s="166"/>
      <c r="F49" s="383"/>
      <c r="G49" s="153"/>
    </row>
    <row r="50" spans="1:7" ht="11.25" customHeight="1" x14ac:dyDescent="0.2">
      <c r="A50" s="136" t="s">
        <v>201</v>
      </c>
      <c r="B50" s="181" t="s">
        <v>159</v>
      </c>
      <c r="C50" s="169">
        <v>0</v>
      </c>
      <c r="D50" s="200">
        <v>0</v>
      </c>
      <c r="E50" s="166">
        <v>0</v>
      </c>
      <c r="F50" s="383">
        <v>0</v>
      </c>
      <c r="G50" s="153">
        <v>20000</v>
      </c>
    </row>
    <row r="51" spans="1:7" ht="11.25" customHeight="1" thickBot="1" x14ac:dyDescent="0.25">
      <c r="A51" s="136" t="s">
        <v>22</v>
      </c>
      <c r="B51" s="184" t="s">
        <v>116</v>
      </c>
      <c r="C51" s="174">
        <v>37420</v>
      </c>
      <c r="D51" s="194">
        <v>9548.6</v>
      </c>
      <c r="E51" s="166">
        <f t="shared" si="1"/>
        <v>19541.400000000001</v>
      </c>
      <c r="F51" s="391">
        <v>29090</v>
      </c>
      <c r="G51" s="150">
        <v>31500</v>
      </c>
    </row>
    <row r="52" spans="1:7" ht="13.5" thickBot="1" x14ac:dyDescent="0.25">
      <c r="A52" s="12" t="s">
        <v>24</v>
      </c>
      <c r="B52" s="73"/>
      <c r="C52" s="68">
        <f>SUM(C38:C51)</f>
        <v>501887.44999999995</v>
      </c>
      <c r="D52" s="52">
        <f>SUM(D38:D51)</f>
        <v>122999.6</v>
      </c>
      <c r="E52" s="68">
        <f>SUM(E38:E51)</f>
        <v>429290.4</v>
      </c>
      <c r="F52" s="379">
        <f>SUM(F38:F51)</f>
        <v>552290</v>
      </c>
      <c r="G52" s="67">
        <f>SUM(G38:G51)</f>
        <v>837000</v>
      </c>
    </row>
    <row r="53" spans="1:7" x14ac:dyDescent="0.2">
      <c r="A53" s="163" t="s">
        <v>9</v>
      </c>
      <c r="B53" s="183"/>
      <c r="C53" s="171"/>
      <c r="D53" s="162"/>
      <c r="E53" s="171"/>
      <c r="F53" s="380"/>
      <c r="G53" s="146"/>
    </row>
    <row r="54" spans="1:7" x14ac:dyDescent="0.2">
      <c r="A54" s="137" t="s">
        <v>78</v>
      </c>
      <c r="B54" s="181" t="s">
        <v>117</v>
      </c>
      <c r="C54" s="166">
        <v>0</v>
      </c>
      <c r="D54" s="161">
        <v>0</v>
      </c>
      <c r="E54" s="166">
        <f>F54-D54</f>
        <v>0</v>
      </c>
      <c r="F54" s="381">
        <v>0</v>
      </c>
      <c r="G54" s="381">
        <v>0</v>
      </c>
    </row>
    <row r="55" spans="1:7" x14ac:dyDescent="0.2">
      <c r="A55" s="136" t="s">
        <v>209</v>
      </c>
      <c r="B55" s="181"/>
      <c r="C55" s="176"/>
      <c r="D55" s="195"/>
      <c r="E55" s="176"/>
      <c r="F55" s="396"/>
      <c r="G55" s="152"/>
    </row>
    <row r="56" spans="1:7" x14ac:dyDescent="0.2">
      <c r="A56" s="136" t="s">
        <v>212</v>
      </c>
      <c r="B56" s="181" t="s">
        <v>125</v>
      </c>
      <c r="C56" s="166">
        <v>202000</v>
      </c>
      <c r="D56" s="161">
        <v>180000</v>
      </c>
      <c r="E56" s="166">
        <f>F56-D56</f>
        <v>185000</v>
      </c>
      <c r="F56" s="381">
        <v>365000</v>
      </c>
      <c r="G56" s="188">
        <v>0</v>
      </c>
    </row>
    <row r="57" spans="1:7" x14ac:dyDescent="0.2">
      <c r="A57" s="136" t="s">
        <v>79</v>
      </c>
      <c r="B57" s="181" t="s">
        <v>118</v>
      </c>
      <c r="C57" s="166">
        <v>93000</v>
      </c>
      <c r="D57" s="161">
        <v>0</v>
      </c>
      <c r="E57" s="166">
        <f>F57-D57</f>
        <v>0</v>
      </c>
      <c r="F57" s="381">
        <v>0</v>
      </c>
      <c r="G57" s="188">
        <v>0</v>
      </c>
    </row>
    <row r="58" spans="1:7" ht="13.5" thickBot="1" x14ac:dyDescent="0.25">
      <c r="A58" s="136" t="s">
        <v>253</v>
      </c>
      <c r="B58" s="184" t="s">
        <v>119</v>
      </c>
      <c r="C58" s="174">
        <v>0</v>
      </c>
      <c r="D58" s="194">
        <v>0</v>
      </c>
      <c r="E58" s="166">
        <f>F58-D58</f>
        <v>0</v>
      </c>
      <c r="F58" s="391">
        <v>0</v>
      </c>
      <c r="G58" s="150">
        <v>0</v>
      </c>
    </row>
    <row r="59" spans="1:7" ht="13.5" thickBot="1" x14ac:dyDescent="0.25">
      <c r="A59" s="12" t="s">
        <v>77</v>
      </c>
      <c r="B59" s="80"/>
      <c r="C59" s="68">
        <f>SUM(C54:C58)</f>
        <v>295000</v>
      </c>
      <c r="D59" s="52">
        <f>SUM(D55:D58)</f>
        <v>180000</v>
      </c>
      <c r="E59" s="68">
        <f>SUM(E55:E58)</f>
        <v>185000</v>
      </c>
      <c r="F59" s="379">
        <f>SUM(F55:F58)</f>
        <v>365000</v>
      </c>
      <c r="G59" s="67">
        <f>SUM(G55:G58)</f>
        <v>0</v>
      </c>
    </row>
    <row r="60" spans="1:7" ht="13.5" thickBot="1" x14ac:dyDescent="0.25">
      <c r="A60" s="5" t="s">
        <v>53</v>
      </c>
      <c r="B60" s="11"/>
      <c r="C60" s="66">
        <f>C36+C52+C59</f>
        <v>4324249.24</v>
      </c>
      <c r="D60" s="51">
        <f>D36+D52+D59</f>
        <v>1949037.2200000002</v>
      </c>
      <c r="E60" s="70">
        <f>E36+E52+E59</f>
        <v>2760052.78</v>
      </c>
      <c r="F60" s="390">
        <f>F36+F52+F59</f>
        <v>4709090</v>
      </c>
      <c r="G60" s="66">
        <f>G36+G52+G59</f>
        <v>4750000</v>
      </c>
    </row>
    <row r="61" spans="1:7" x14ac:dyDescent="0.2">
      <c r="A61" s="18"/>
      <c r="B61" s="19"/>
      <c r="C61" s="20"/>
      <c r="D61" s="20"/>
      <c r="E61" s="20"/>
      <c r="F61" s="20"/>
      <c r="G61" s="20"/>
    </row>
    <row r="62" spans="1:7" x14ac:dyDescent="0.2">
      <c r="A62" s="22" t="s">
        <v>211</v>
      </c>
      <c r="B62" s="22" t="s">
        <v>172</v>
      </c>
      <c r="C62" s="22"/>
      <c r="D62" s="15"/>
      <c r="E62" s="527" t="s">
        <v>16</v>
      </c>
      <c r="F62" s="527"/>
      <c r="G62" s="8"/>
    </row>
    <row r="63" spans="1:7" x14ac:dyDescent="0.2">
      <c r="A63" s="22"/>
      <c r="B63" s="15"/>
      <c r="C63" s="15"/>
      <c r="D63" s="15"/>
      <c r="E63" s="15"/>
      <c r="F63" s="15"/>
      <c r="G63" s="15"/>
    </row>
    <row r="64" spans="1:7" x14ac:dyDescent="0.2">
      <c r="A64" s="4"/>
      <c r="B64" s="23"/>
      <c r="C64" s="23"/>
      <c r="D64" s="23"/>
      <c r="E64" s="23"/>
      <c r="F64" s="4"/>
      <c r="G64" s="8"/>
    </row>
    <row r="65" spans="1:7" x14ac:dyDescent="0.2">
      <c r="A65" s="4" t="s">
        <v>176</v>
      </c>
      <c r="B65" s="528" t="s">
        <v>259</v>
      </c>
      <c r="C65" s="528"/>
      <c r="D65" s="528"/>
      <c r="E65" s="23"/>
      <c r="F65" s="529" t="s">
        <v>271</v>
      </c>
      <c r="G65" s="529"/>
    </row>
    <row r="66" spans="1:7" x14ac:dyDescent="0.2">
      <c r="A66" s="8" t="s">
        <v>177</v>
      </c>
      <c r="B66" s="518" t="s">
        <v>270</v>
      </c>
      <c r="C66" s="518"/>
      <c r="D66" s="518"/>
      <c r="E66" s="15"/>
      <c r="F66" s="519" t="s">
        <v>51</v>
      </c>
      <c r="G66" s="519"/>
    </row>
    <row r="67" spans="1:7" x14ac:dyDescent="0.2">
      <c r="A67" s="8"/>
      <c r="B67" s="113"/>
      <c r="C67" s="113"/>
      <c r="D67" s="113"/>
      <c r="E67" s="15"/>
      <c r="F67" s="15"/>
      <c r="G67" s="15"/>
    </row>
    <row r="68" spans="1:7" x14ac:dyDescent="0.2">
      <c r="A68" s="8"/>
      <c r="B68" s="113"/>
      <c r="C68" s="113"/>
      <c r="D68" s="113"/>
      <c r="E68" s="15"/>
      <c r="F68" s="15"/>
      <c r="G68" s="15"/>
    </row>
    <row r="69" spans="1:7" x14ac:dyDescent="0.2">
      <c r="A69" s="8"/>
      <c r="B69" s="113"/>
      <c r="C69" s="113"/>
      <c r="D69" s="113"/>
      <c r="E69" s="15"/>
      <c r="F69" s="15"/>
      <c r="G69" s="15"/>
    </row>
  </sheetData>
  <mergeCells count="9">
    <mergeCell ref="E62:F62"/>
    <mergeCell ref="A5:G5"/>
    <mergeCell ref="B65:D65"/>
    <mergeCell ref="F65:G65"/>
    <mergeCell ref="B66:D66"/>
    <mergeCell ref="F66:G66"/>
    <mergeCell ref="A10:A12"/>
    <mergeCell ref="D10:F10"/>
    <mergeCell ref="F11:F12"/>
  </mergeCells>
  <pageMargins left="0.23622047244094491" right="7.874015748031496E-2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G42350"/>
  <sheetViews>
    <sheetView view="pageBreakPreview" topLeftCell="A7" zoomScale="115" zoomScaleNormal="100" zoomScaleSheetLayoutView="115" workbookViewId="0">
      <selection activeCell="D10" sqref="D10:F12"/>
    </sheetView>
  </sheetViews>
  <sheetFormatPr defaultColWidth="9.28515625" defaultRowHeight="12.75" x14ac:dyDescent="0.2"/>
  <cols>
    <col min="1" max="1" width="36.7109375" style="15" customWidth="1"/>
    <col min="2" max="2" width="9.85546875" style="28" customWidth="1"/>
    <col min="3" max="3" width="18.42578125" style="28" customWidth="1"/>
    <col min="4" max="4" width="20.7109375" style="28" customWidth="1"/>
    <col min="5" max="5" width="11.28515625" style="28" customWidth="1"/>
    <col min="6" max="7" width="11.5703125" style="28" customWidth="1"/>
    <col min="8" max="16384" width="9.28515625" style="3"/>
  </cols>
  <sheetData>
    <row r="1" spans="1:7" x14ac:dyDescent="0.2">
      <c r="A1" s="478" t="s">
        <v>344</v>
      </c>
      <c r="B1" s="471"/>
      <c r="C1" s="471"/>
      <c r="D1" s="471"/>
      <c r="E1" s="471"/>
      <c r="F1" s="471"/>
      <c r="G1" s="471"/>
    </row>
    <row r="2" spans="1:7" x14ac:dyDescent="0.2">
      <c r="A2" s="478" t="s">
        <v>345</v>
      </c>
      <c r="B2" s="479"/>
      <c r="C2" s="479"/>
      <c r="D2" s="479"/>
      <c r="E2" s="479"/>
      <c r="F2" s="479"/>
      <c r="G2" s="479"/>
    </row>
    <row r="3" spans="1:7" ht="15" customHeight="1" x14ac:dyDescent="0.2">
      <c r="A3" s="480" t="s">
        <v>346</v>
      </c>
      <c r="B3" s="479"/>
      <c r="C3" s="479"/>
      <c r="D3" s="479"/>
      <c r="E3" s="479"/>
      <c r="F3" s="479"/>
      <c r="G3" s="479"/>
    </row>
    <row r="4" spans="1:7" x14ac:dyDescent="0.2">
      <c r="A4" s="474"/>
      <c r="B4" s="474"/>
      <c r="C4" s="474"/>
      <c r="D4" s="474"/>
      <c r="E4" s="474"/>
      <c r="F4" s="474"/>
      <c r="G4" s="474"/>
    </row>
    <row r="5" spans="1:7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7" ht="16.5" customHeight="1" x14ac:dyDescent="0.25">
      <c r="A6" s="481"/>
      <c r="B6" s="481"/>
      <c r="C6" s="481"/>
      <c r="D6" s="481"/>
      <c r="E6" s="481"/>
      <c r="F6" s="481"/>
      <c r="G6" s="481"/>
    </row>
    <row r="7" spans="1:7" ht="16.5" customHeight="1" x14ac:dyDescent="0.2">
      <c r="A7" s="483" t="s">
        <v>348</v>
      </c>
      <c r="B7" s="484" t="s">
        <v>349</v>
      </c>
      <c r="C7" s="485"/>
      <c r="D7" s="490" t="s">
        <v>350</v>
      </c>
      <c r="E7" s="484">
        <v>2024</v>
      </c>
      <c r="F7" s="485"/>
      <c r="G7" s="485"/>
    </row>
    <row r="8" spans="1:7" ht="23.25" customHeight="1" x14ac:dyDescent="0.2">
      <c r="A8" s="486" t="s">
        <v>351</v>
      </c>
      <c r="B8" s="487" t="s">
        <v>352</v>
      </c>
      <c r="C8" s="488"/>
      <c r="D8" s="491" t="s">
        <v>333</v>
      </c>
      <c r="E8" s="489"/>
      <c r="F8" s="488"/>
      <c r="G8" s="488"/>
    </row>
    <row r="9" spans="1:7" ht="13.5" thickBot="1" x14ac:dyDescent="0.25">
      <c r="A9" s="486" t="s">
        <v>354</v>
      </c>
      <c r="B9" s="487" t="s">
        <v>355</v>
      </c>
      <c r="C9" s="488"/>
      <c r="D9" s="488"/>
      <c r="E9" s="488"/>
      <c r="F9" s="488"/>
      <c r="G9" s="488"/>
    </row>
    <row r="10" spans="1:7" ht="13.5" thickBot="1" x14ac:dyDescent="0.25">
      <c r="A10" s="520" t="s">
        <v>27</v>
      </c>
      <c r="B10" s="448" t="s">
        <v>15</v>
      </c>
      <c r="C10" s="443" t="s">
        <v>1</v>
      </c>
      <c r="D10" s="520" t="s">
        <v>329</v>
      </c>
      <c r="E10" s="532"/>
      <c r="F10" s="533"/>
      <c r="G10" s="444" t="s">
        <v>3</v>
      </c>
    </row>
    <row r="11" spans="1:7" x14ac:dyDescent="0.2">
      <c r="A11" s="521"/>
      <c r="B11" s="449" t="s">
        <v>0</v>
      </c>
      <c r="C11" s="446">
        <v>2022</v>
      </c>
      <c r="D11" s="156" t="s">
        <v>167</v>
      </c>
      <c r="E11" s="156" t="s">
        <v>168</v>
      </c>
      <c r="F11" s="525" t="s">
        <v>169</v>
      </c>
      <c r="G11" s="447">
        <v>2024</v>
      </c>
    </row>
    <row r="12" spans="1:7" x14ac:dyDescent="0.2">
      <c r="A12" s="521"/>
      <c r="B12" s="180"/>
      <c r="C12" s="446" t="s">
        <v>2</v>
      </c>
      <c r="D12" s="449" t="s">
        <v>2</v>
      </c>
      <c r="E12" s="449" t="s">
        <v>183</v>
      </c>
      <c r="F12" s="526"/>
      <c r="G12" s="447" t="s">
        <v>33</v>
      </c>
    </row>
    <row r="13" spans="1:7" x14ac:dyDescent="0.2">
      <c r="A13" s="134" t="s">
        <v>28</v>
      </c>
      <c r="B13" s="190" t="s">
        <v>29</v>
      </c>
      <c r="C13" s="37" t="s">
        <v>30</v>
      </c>
      <c r="D13" s="190" t="s">
        <v>31</v>
      </c>
      <c r="E13" s="190" t="s">
        <v>32</v>
      </c>
      <c r="F13" s="190" t="s">
        <v>170</v>
      </c>
      <c r="G13" s="135" t="s">
        <v>171</v>
      </c>
    </row>
    <row r="14" spans="1:7" x14ac:dyDescent="0.2">
      <c r="A14" s="163" t="s">
        <v>4</v>
      </c>
      <c r="B14" s="191"/>
      <c r="C14" s="17"/>
      <c r="D14" s="191"/>
      <c r="E14" s="191"/>
      <c r="F14" s="191"/>
      <c r="G14" s="141"/>
    </row>
    <row r="15" spans="1:7" x14ac:dyDescent="0.2">
      <c r="A15" s="163" t="s">
        <v>5</v>
      </c>
      <c r="B15" s="160"/>
      <c r="C15" s="39"/>
      <c r="D15" s="160"/>
      <c r="E15" s="160"/>
      <c r="F15" s="211"/>
      <c r="G15" s="142"/>
    </row>
    <row r="16" spans="1:7" x14ac:dyDescent="0.2">
      <c r="A16" s="136" t="s">
        <v>46</v>
      </c>
      <c r="B16" s="181" t="s">
        <v>100</v>
      </c>
      <c r="C16" s="219">
        <v>746158</v>
      </c>
      <c r="D16" s="216">
        <v>495018.38</v>
      </c>
      <c r="E16" s="161">
        <f t="shared" ref="E16:E35" si="0">F16-D16</f>
        <v>1249481.6200000001</v>
      </c>
      <c r="F16" s="325">
        <v>1744500</v>
      </c>
      <c r="G16" s="145">
        <v>1691000</v>
      </c>
    </row>
    <row r="17" spans="1:7" x14ac:dyDescent="0.2">
      <c r="A17" s="136" t="s">
        <v>193</v>
      </c>
      <c r="B17" s="181" t="s">
        <v>101</v>
      </c>
      <c r="C17" s="219">
        <v>48000</v>
      </c>
      <c r="D17" s="216">
        <v>17000</v>
      </c>
      <c r="E17" s="161">
        <f t="shared" si="0"/>
        <v>55000</v>
      </c>
      <c r="F17" s="463">
        <v>72000</v>
      </c>
      <c r="G17" s="143">
        <v>72000</v>
      </c>
    </row>
    <row r="18" spans="1:7" x14ac:dyDescent="0.2">
      <c r="A18" s="136" t="s">
        <v>40</v>
      </c>
      <c r="B18" s="181" t="s">
        <v>120</v>
      </c>
      <c r="C18" s="219">
        <v>0</v>
      </c>
      <c r="D18" s="216">
        <v>40500</v>
      </c>
      <c r="E18" s="161">
        <f t="shared" si="0"/>
        <v>40500</v>
      </c>
      <c r="F18" s="198">
        <v>81000</v>
      </c>
      <c r="G18" s="143">
        <v>81000</v>
      </c>
    </row>
    <row r="19" spans="1:7" x14ac:dyDescent="0.2">
      <c r="A19" s="136" t="s">
        <v>41</v>
      </c>
      <c r="B19" s="181" t="s">
        <v>121</v>
      </c>
      <c r="C19" s="219">
        <v>0</v>
      </c>
      <c r="D19" s="216">
        <v>40500</v>
      </c>
      <c r="E19" s="161">
        <f t="shared" si="0"/>
        <v>40500</v>
      </c>
      <c r="F19" s="198">
        <v>81000</v>
      </c>
      <c r="G19" s="143">
        <v>81000</v>
      </c>
    </row>
    <row r="20" spans="1:7" x14ac:dyDescent="0.2">
      <c r="A20" s="136" t="s">
        <v>42</v>
      </c>
      <c r="B20" s="181" t="s">
        <v>102</v>
      </c>
      <c r="C20" s="219">
        <v>12000</v>
      </c>
      <c r="D20" s="216">
        <v>12000</v>
      </c>
      <c r="E20" s="161">
        <f t="shared" si="0"/>
        <v>6000</v>
      </c>
      <c r="F20" s="463">
        <v>18000</v>
      </c>
      <c r="G20" s="143">
        <v>18000</v>
      </c>
    </row>
    <row r="21" spans="1:7" x14ac:dyDescent="0.2">
      <c r="A21" s="136" t="s">
        <v>182</v>
      </c>
      <c r="B21" s="181" t="s">
        <v>158</v>
      </c>
      <c r="C21" s="168">
        <v>0</v>
      </c>
      <c r="D21" s="198">
        <v>0</v>
      </c>
      <c r="E21" s="161">
        <f t="shared" si="0"/>
        <v>0</v>
      </c>
      <c r="F21" s="198">
        <v>0</v>
      </c>
      <c r="G21" s="198">
        <v>0</v>
      </c>
    </row>
    <row r="22" spans="1:7" x14ac:dyDescent="0.2">
      <c r="A22" s="136" t="s">
        <v>94</v>
      </c>
      <c r="B22" s="181" t="s">
        <v>104</v>
      </c>
      <c r="C22" s="219">
        <v>62184</v>
      </c>
      <c r="D22" s="216">
        <v>0</v>
      </c>
      <c r="E22" s="161">
        <f t="shared" si="0"/>
        <v>145500</v>
      </c>
      <c r="F22" s="463">
        <v>145500</v>
      </c>
      <c r="G22" s="143">
        <v>141000</v>
      </c>
    </row>
    <row r="23" spans="1:7" x14ac:dyDescent="0.2">
      <c r="A23" s="136" t="s">
        <v>150</v>
      </c>
      <c r="B23" s="181" t="s">
        <v>127</v>
      </c>
      <c r="C23" s="168">
        <v>62184</v>
      </c>
      <c r="D23" s="197">
        <v>81070</v>
      </c>
      <c r="E23" s="161">
        <f t="shared" si="0"/>
        <v>64430</v>
      </c>
      <c r="F23" s="325">
        <v>145500</v>
      </c>
      <c r="G23" s="145">
        <v>141000</v>
      </c>
    </row>
    <row r="24" spans="1:7" x14ac:dyDescent="0.2">
      <c r="A24" s="136" t="s">
        <v>10</v>
      </c>
      <c r="B24" s="181" t="s">
        <v>103</v>
      </c>
      <c r="C24" s="219">
        <v>10000</v>
      </c>
      <c r="D24" s="216">
        <v>0</v>
      </c>
      <c r="E24" s="161">
        <f t="shared" si="0"/>
        <v>15000</v>
      </c>
      <c r="F24" s="325">
        <v>15000</v>
      </c>
      <c r="G24" s="145">
        <v>15000</v>
      </c>
    </row>
    <row r="25" spans="1:7" x14ac:dyDescent="0.2">
      <c r="A25" s="136" t="s">
        <v>178</v>
      </c>
      <c r="B25" s="181" t="s">
        <v>105</v>
      </c>
      <c r="C25" s="219">
        <v>89294.64</v>
      </c>
      <c r="D25" s="216">
        <v>60042.97</v>
      </c>
      <c r="E25" s="161">
        <f t="shared" si="0"/>
        <v>149457.03</v>
      </c>
      <c r="F25" s="463">
        <v>209500</v>
      </c>
      <c r="G25" s="143">
        <v>203000</v>
      </c>
    </row>
    <row r="26" spans="1:7" x14ac:dyDescent="0.2">
      <c r="A26" s="136" t="s">
        <v>57</v>
      </c>
      <c r="B26" s="181" t="s">
        <v>106</v>
      </c>
      <c r="C26" s="219">
        <v>14924.16</v>
      </c>
      <c r="D26" s="216">
        <v>10053.26</v>
      </c>
      <c r="E26" s="161">
        <f t="shared" si="0"/>
        <v>24946.739999999998</v>
      </c>
      <c r="F26" s="463">
        <v>35000</v>
      </c>
      <c r="G26" s="143">
        <v>34000</v>
      </c>
    </row>
    <row r="27" spans="1:7" ht="12" customHeight="1" x14ac:dyDescent="0.2">
      <c r="A27" s="136" t="s">
        <v>58</v>
      </c>
      <c r="B27" s="181" t="s">
        <v>107</v>
      </c>
      <c r="C27" s="219">
        <v>16788.55</v>
      </c>
      <c r="D27" s="216">
        <v>10778.36</v>
      </c>
      <c r="E27" s="161">
        <f t="shared" si="0"/>
        <v>28721.64</v>
      </c>
      <c r="F27" s="325">
        <v>39500</v>
      </c>
      <c r="G27" s="145">
        <v>43000</v>
      </c>
    </row>
    <row r="28" spans="1:7" x14ac:dyDescent="0.2">
      <c r="A28" s="136" t="s">
        <v>188</v>
      </c>
      <c r="B28" s="181"/>
      <c r="C28" s="219"/>
      <c r="D28" s="216"/>
      <c r="E28" s="161"/>
      <c r="F28" s="325"/>
      <c r="G28" s="145"/>
    </row>
    <row r="29" spans="1:7" x14ac:dyDescent="0.2">
      <c r="A29" s="136" t="s">
        <v>231</v>
      </c>
      <c r="B29" s="181" t="s">
        <v>108</v>
      </c>
      <c r="C29" s="219">
        <v>2400</v>
      </c>
      <c r="D29" s="216">
        <v>900</v>
      </c>
      <c r="E29" s="161">
        <f t="shared" si="0"/>
        <v>2700</v>
      </c>
      <c r="F29" s="463">
        <v>3600</v>
      </c>
      <c r="G29" s="143">
        <v>3600</v>
      </c>
    </row>
    <row r="30" spans="1:7" x14ac:dyDescent="0.2">
      <c r="A30" s="136" t="s">
        <v>45</v>
      </c>
      <c r="B30" s="181" t="s">
        <v>128</v>
      </c>
      <c r="C30" s="219">
        <v>71380.72</v>
      </c>
      <c r="D30" s="216">
        <v>23806.799999999999</v>
      </c>
      <c r="E30" s="161">
        <f t="shared" si="0"/>
        <v>76193.2</v>
      </c>
      <c r="F30" s="325">
        <v>100000</v>
      </c>
      <c r="G30" s="145">
        <v>46000</v>
      </c>
    </row>
    <row r="31" spans="1:7" x14ac:dyDescent="0.2">
      <c r="A31" s="137" t="s">
        <v>60</v>
      </c>
      <c r="B31" s="181" t="s">
        <v>129</v>
      </c>
      <c r="C31" s="219">
        <v>10000</v>
      </c>
      <c r="D31" s="198">
        <v>0</v>
      </c>
      <c r="E31" s="161">
        <f t="shared" si="0"/>
        <v>15000</v>
      </c>
      <c r="F31" s="325">
        <v>15000</v>
      </c>
      <c r="G31" s="145">
        <v>15000</v>
      </c>
    </row>
    <row r="32" spans="1:7" x14ac:dyDescent="0.2">
      <c r="A32" s="137" t="s">
        <v>72</v>
      </c>
      <c r="B32" s="181" t="s">
        <v>130</v>
      </c>
      <c r="C32" s="219">
        <v>10000</v>
      </c>
      <c r="D32" s="217">
        <v>0</v>
      </c>
      <c r="E32" s="161">
        <f t="shared" si="0"/>
        <v>0</v>
      </c>
      <c r="F32" s="216">
        <v>0</v>
      </c>
      <c r="G32" s="216">
        <v>0</v>
      </c>
    </row>
    <row r="33" spans="1:7" x14ac:dyDescent="0.2">
      <c r="A33" s="137" t="s">
        <v>190</v>
      </c>
      <c r="B33" s="181" t="s">
        <v>131</v>
      </c>
      <c r="C33" s="219">
        <v>0</v>
      </c>
      <c r="D33" s="217">
        <v>0</v>
      </c>
      <c r="E33" s="161">
        <f t="shared" si="0"/>
        <v>0</v>
      </c>
      <c r="F33" s="216">
        <v>0</v>
      </c>
      <c r="G33" s="216">
        <v>0</v>
      </c>
    </row>
    <row r="34" spans="1:7" x14ac:dyDescent="0.2">
      <c r="A34" s="137" t="s">
        <v>260</v>
      </c>
      <c r="B34" s="181" t="s">
        <v>261</v>
      </c>
      <c r="C34" s="167">
        <v>50000</v>
      </c>
      <c r="D34" s="193">
        <v>0</v>
      </c>
      <c r="E34" s="161">
        <f t="shared" si="0"/>
        <v>0</v>
      </c>
      <c r="F34" s="161">
        <v>0</v>
      </c>
      <c r="G34" s="216">
        <v>0</v>
      </c>
    </row>
    <row r="35" spans="1:7" ht="13.5" thickBot="1" x14ac:dyDescent="0.25">
      <c r="A35" s="164" t="s">
        <v>293</v>
      </c>
      <c r="B35" s="182" t="s">
        <v>292</v>
      </c>
      <c r="C35" s="202">
        <v>40000</v>
      </c>
      <c r="D35" s="201">
        <v>0</v>
      </c>
      <c r="E35" s="161">
        <f t="shared" si="0"/>
        <v>0</v>
      </c>
      <c r="F35" s="462">
        <v>0</v>
      </c>
      <c r="G35" s="216">
        <v>0</v>
      </c>
    </row>
    <row r="36" spans="1:7" ht="13.5" thickBot="1" x14ac:dyDescent="0.25">
      <c r="A36" s="12" t="s">
        <v>75</v>
      </c>
      <c r="B36" s="81"/>
      <c r="C36" s="121">
        <f>SUM(C16:C35)</f>
        <v>1245314.07</v>
      </c>
      <c r="D36" s="122">
        <f>SUM(D16:D35)</f>
        <v>791669.77</v>
      </c>
      <c r="E36" s="122">
        <f>SUM(E16:E35)</f>
        <v>1913430.23</v>
      </c>
      <c r="F36" s="206">
        <f>SUM(F16:F35)</f>
        <v>2705100</v>
      </c>
      <c r="G36" s="206">
        <f>SUM(G16:G35)</f>
        <v>2584600</v>
      </c>
    </row>
    <row r="37" spans="1:7" x14ac:dyDescent="0.2">
      <c r="A37" s="163" t="s">
        <v>19</v>
      </c>
      <c r="B37" s="183"/>
      <c r="C37" s="220"/>
      <c r="D37" s="214"/>
      <c r="E37" s="214"/>
      <c r="F37" s="207"/>
      <c r="G37" s="207"/>
    </row>
    <row r="38" spans="1:7" x14ac:dyDescent="0.2">
      <c r="A38" s="137" t="s">
        <v>8</v>
      </c>
      <c r="B38" s="181" t="s">
        <v>109</v>
      </c>
      <c r="C38" s="168">
        <v>296784</v>
      </c>
      <c r="D38" s="196">
        <v>66694.320000000007</v>
      </c>
      <c r="E38" s="161">
        <f t="shared" ref="E38:E50" si="1">F38-D38</f>
        <v>133305.68</v>
      </c>
      <c r="F38" s="208">
        <v>200000</v>
      </c>
      <c r="G38" s="208">
        <v>200000</v>
      </c>
    </row>
    <row r="39" spans="1:7" x14ac:dyDescent="0.2">
      <c r="A39" s="137" t="s">
        <v>281</v>
      </c>
      <c r="B39" s="181" t="s">
        <v>110</v>
      </c>
      <c r="C39" s="168">
        <v>53000</v>
      </c>
      <c r="D39" s="196">
        <v>18000</v>
      </c>
      <c r="E39" s="161">
        <f t="shared" si="1"/>
        <v>62000</v>
      </c>
      <c r="F39" s="208">
        <v>80000</v>
      </c>
      <c r="G39" s="208">
        <v>80000</v>
      </c>
    </row>
    <row r="40" spans="1:7" x14ac:dyDescent="0.2">
      <c r="A40" s="137" t="s">
        <v>13</v>
      </c>
      <c r="B40" s="181" t="s">
        <v>111</v>
      </c>
      <c r="C40" s="168">
        <v>70335</v>
      </c>
      <c r="D40" s="196">
        <v>31008</v>
      </c>
      <c r="E40" s="161">
        <f t="shared" si="1"/>
        <v>38992</v>
      </c>
      <c r="F40" s="208">
        <v>70000</v>
      </c>
      <c r="G40" s="208">
        <v>70000</v>
      </c>
    </row>
    <row r="41" spans="1:7" x14ac:dyDescent="0.2">
      <c r="A41" s="136" t="s">
        <v>163</v>
      </c>
      <c r="B41" s="181" t="s">
        <v>122</v>
      </c>
      <c r="C41" s="168">
        <v>499850</v>
      </c>
      <c r="D41" s="196">
        <v>99850</v>
      </c>
      <c r="E41" s="161">
        <f t="shared" si="1"/>
        <v>100150</v>
      </c>
      <c r="F41" s="208">
        <v>200000</v>
      </c>
      <c r="G41" s="208">
        <v>200000</v>
      </c>
    </row>
    <row r="42" spans="1:7" ht="12" customHeight="1" x14ac:dyDescent="0.2">
      <c r="A42" s="136" t="s">
        <v>164</v>
      </c>
      <c r="B42" s="181" t="s">
        <v>112</v>
      </c>
      <c r="C42" s="168">
        <v>33665</v>
      </c>
      <c r="D42" s="196">
        <v>17100</v>
      </c>
      <c r="E42" s="161">
        <f t="shared" si="1"/>
        <v>17900</v>
      </c>
      <c r="F42" s="208">
        <v>35000</v>
      </c>
      <c r="G42" s="208">
        <v>147700</v>
      </c>
    </row>
    <row r="43" spans="1:7" x14ac:dyDescent="0.2">
      <c r="A43" s="136" t="s">
        <v>165</v>
      </c>
      <c r="B43" s="181" t="s">
        <v>113</v>
      </c>
      <c r="C43" s="168">
        <v>0</v>
      </c>
      <c r="D43" s="196">
        <v>0</v>
      </c>
      <c r="E43" s="161">
        <f t="shared" si="1"/>
        <v>0</v>
      </c>
      <c r="F43" s="208">
        <v>0</v>
      </c>
      <c r="G43" s="208">
        <v>0</v>
      </c>
    </row>
    <row r="44" spans="1:7" x14ac:dyDescent="0.2">
      <c r="A44" s="136" t="s">
        <v>166</v>
      </c>
      <c r="B44" s="181" t="s">
        <v>114</v>
      </c>
      <c r="C44" s="168">
        <v>34397.83</v>
      </c>
      <c r="D44" s="196">
        <v>8800</v>
      </c>
      <c r="E44" s="161">
        <f t="shared" si="1"/>
        <v>39200</v>
      </c>
      <c r="F44" s="208">
        <v>48000</v>
      </c>
      <c r="G44" s="208">
        <v>48000</v>
      </c>
    </row>
    <row r="45" spans="1:7" x14ac:dyDescent="0.2">
      <c r="A45" s="136" t="s">
        <v>338</v>
      </c>
      <c r="B45" s="181" t="s">
        <v>124</v>
      </c>
      <c r="C45" s="168">
        <v>0</v>
      </c>
      <c r="D45" s="196">
        <v>0</v>
      </c>
      <c r="E45" s="161">
        <v>0</v>
      </c>
      <c r="F45" s="208">
        <v>0</v>
      </c>
      <c r="G45" s="208">
        <v>20000</v>
      </c>
    </row>
    <row r="46" spans="1:7" x14ac:dyDescent="0.2">
      <c r="A46" s="136" t="s">
        <v>248</v>
      </c>
      <c r="B46" s="181" t="s">
        <v>148</v>
      </c>
      <c r="C46" s="177">
        <v>79650</v>
      </c>
      <c r="D46" s="198">
        <v>0</v>
      </c>
      <c r="E46" s="161">
        <f t="shared" si="1"/>
        <v>80000</v>
      </c>
      <c r="F46" s="147">
        <v>80000</v>
      </c>
      <c r="G46" s="147">
        <v>80000</v>
      </c>
    </row>
    <row r="47" spans="1:7" x14ac:dyDescent="0.2">
      <c r="A47" s="136" t="s">
        <v>204</v>
      </c>
      <c r="B47" s="181"/>
      <c r="C47" s="168"/>
      <c r="D47" s="196"/>
      <c r="E47" s="161"/>
      <c r="F47" s="208"/>
      <c r="G47" s="208"/>
    </row>
    <row r="48" spans="1:7" ht="12.75" customHeight="1" x14ac:dyDescent="0.2">
      <c r="A48" s="136" t="s">
        <v>213</v>
      </c>
      <c r="B48" s="181" t="s">
        <v>115</v>
      </c>
      <c r="C48" s="168">
        <v>6866</v>
      </c>
      <c r="D48" s="196">
        <v>6357</v>
      </c>
      <c r="E48" s="161">
        <f t="shared" si="1"/>
        <v>13643</v>
      </c>
      <c r="F48" s="208">
        <v>20000</v>
      </c>
      <c r="G48" s="208">
        <v>0</v>
      </c>
    </row>
    <row r="49" spans="1:7" x14ac:dyDescent="0.2">
      <c r="A49" s="136" t="s">
        <v>64</v>
      </c>
      <c r="B49" s="181" t="s">
        <v>137</v>
      </c>
      <c r="C49" s="167">
        <v>154600</v>
      </c>
      <c r="D49" s="193">
        <v>9000</v>
      </c>
      <c r="E49" s="161">
        <f t="shared" si="1"/>
        <v>41000</v>
      </c>
      <c r="F49" s="149">
        <v>50000</v>
      </c>
      <c r="G49" s="149">
        <v>100000</v>
      </c>
    </row>
    <row r="50" spans="1:7" ht="13.5" thickBot="1" x14ac:dyDescent="0.25">
      <c r="A50" s="136" t="s">
        <v>18</v>
      </c>
      <c r="B50" s="184" t="s">
        <v>116</v>
      </c>
      <c r="C50" s="221">
        <v>87768.66</v>
      </c>
      <c r="D50" s="213">
        <v>0</v>
      </c>
      <c r="E50" s="161">
        <f t="shared" si="1"/>
        <v>44400</v>
      </c>
      <c r="F50" s="209">
        <v>44400</v>
      </c>
      <c r="G50" s="209">
        <v>54300</v>
      </c>
    </row>
    <row r="51" spans="1:7" ht="13.5" thickBot="1" x14ac:dyDescent="0.25">
      <c r="A51" s="12" t="s">
        <v>76</v>
      </c>
      <c r="B51" s="72"/>
      <c r="C51" s="210">
        <f>SUM(C38:C50)</f>
        <v>1316916.49</v>
      </c>
      <c r="D51" s="83">
        <f>SUM(D38:D50)</f>
        <v>256809.32</v>
      </c>
      <c r="E51" s="83">
        <f>SUM(E38:E50)</f>
        <v>570590.67999999993</v>
      </c>
      <c r="F51" s="82">
        <f>SUM(F38:F50)</f>
        <v>827400</v>
      </c>
      <c r="G51" s="82">
        <f>SUM(G38:G50)</f>
        <v>1000000</v>
      </c>
    </row>
    <row r="52" spans="1:7" x14ac:dyDescent="0.2">
      <c r="A52" s="163" t="s">
        <v>9</v>
      </c>
      <c r="B52" s="185"/>
      <c r="C52" s="222"/>
      <c r="D52" s="215"/>
      <c r="E52" s="215"/>
      <c r="F52" s="207"/>
      <c r="G52" s="207"/>
    </row>
    <row r="53" spans="1:7" ht="19.5" customHeight="1" x14ac:dyDescent="0.2">
      <c r="A53" s="137" t="s">
        <v>244</v>
      </c>
      <c r="B53" s="181" t="s">
        <v>125</v>
      </c>
      <c r="C53" s="168">
        <v>65000</v>
      </c>
      <c r="D53" s="196">
        <v>0</v>
      </c>
      <c r="E53" s="161">
        <f>F53-D53</f>
        <v>0</v>
      </c>
      <c r="F53" s="208">
        <v>0</v>
      </c>
      <c r="G53" s="208">
        <v>0</v>
      </c>
    </row>
    <row r="54" spans="1:7" x14ac:dyDescent="0.2">
      <c r="A54" s="137" t="s">
        <v>273</v>
      </c>
      <c r="B54" s="181" t="s">
        <v>274</v>
      </c>
      <c r="C54" s="168">
        <v>0</v>
      </c>
      <c r="D54" s="196">
        <v>0</v>
      </c>
      <c r="E54" s="161">
        <f>F54-D54</f>
        <v>0</v>
      </c>
      <c r="F54" s="208">
        <v>0</v>
      </c>
      <c r="G54" s="208">
        <v>0</v>
      </c>
    </row>
    <row r="55" spans="1:7" x14ac:dyDescent="0.2">
      <c r="A55" s="137" t="s">
        <v>97</v>
      </c>
      <c r="B55" s="181" t="s">
        <v>118</v>
      </c>
      <c r="C55" s="168">
        <v>0</v>
      </c>
      <c r="D55" s="196">
        <v>0</v>
      </c>
      <c r="E55" s="161">
        <f>F55-D55</f>
        <v>0</v>
      </c>
      <c r="F55" s="208">
        <v>0</v>
      </c>
      <c r="G55" s="208">
        <v>0</v>
      </c>
    </row>
    <row r="56" spans="1:7" ht="13.5" thickBot="1" x14ac:dyDescent="0.25">
      <c r="A56" s="205" t="s">
        <v>185</v>
      </c>
      <c r="B56" s="224" t="s">
        <v>119</v>
      </c>
      <c r="C56" s="223">
        <v>0</v>
      </c>
      <c r="D56" s="218">
        <v>0</v>
      </c>
      <c r="E56" s="161">
        <f>F56-D56</f>
        <v>0</v>
      </c>
      <c r="F56" s="209">
        <v>0</v>
      </c>
      <c r="G56" s="209">
        <v>0</v>
      </c>
    </row>
    <row r="57" spans="1:7" ht="13.5" thickBot="1" x14ac:dyDescent="0.25">
      <c r="A57" s="12" t="s">
        <v>77</v>
      </c>
      <c r="B57" s="79"/>
      <c r="C57" s="84">
        <f>SUM(C53:C56)</f>
        <v>65000</v>
      </c>
      <c r="D57" s="83">
        <f>SUM(D53:D56)</f>
        <v>0</v>
      </c>
      <c r="E57" s="83">
        <f>SUM(E53:E56)</f>
        <v>0</v>
      </c>
      <c r="F57" s="82">
        <f>SUM(F53:F56)</f>
        <v>0</v>
      </c>
      <c r="G57" s="82">
        <f>SUM(G53:G56)</f>
        <v>0</v>
      </c>
    </row>
    <row r="58" spans="1:7" ht="13.5" thickBot="1" x14ac:dyDescent="0.25">
      <c r="A58" s="5" t="s">
        <v>53</v>
      </c>
      <c r="B58" s="11"/>
      <c r="C58" s="54">
        <f>C36+C51+C57</f>
        <v>2627230.56</v>
      </c>
      <c r="D58" s="51">
        <f>D36+D51+D57</f>
        <v>1048479.0900000001</v>
      </c>
      <c r="E58" s="51">
        <f>E36+E51+E57</f>
        <v>2484020.91</v>
      </c>
      <c r="F58" s="66">
        <f>F36+F51+F57</f>
        <v>3532500</v>
      </c>
      <c r="G58" s="66">
        <f>G36+G51+G57</f>
        <v>3584600</v>
      </c>
    </row>
    <row r="59" spans="1:7" x14ac:dyDescent="0.2">
      <c r="A59" s="18"/>
      <c r="B59" s="19"/>
      <c r="C59" s="33"/>
      <c r="D59" s="33"/>
      <c r="E59" s="33"/>
      <c r="F59" s="46"/>
      <c r="G59" s="46"/>
    </row>
    <row r="60" spans="1:7" x14ac:dyDescent="0.2">
      <c r="A60" s="8"/>
      <c r="B60" s="25"/>
      <c r="C60" s="25"/>
      <c r="D60" s="25"/>
      <c r="E60" s="25"/>
      <c r="F60" s="25"/>
      <c r="G60" s="25"/>
    </row>
    <row r="61" spans="1:7" x14ac:dyDescent="0.2">
      <c r="A61" s="22" t="s">
        <v>232</v>
      </c>
      <c r="B61" s="22" t="s">
        <v>172</v>
      </c>
      <c r="C61" s="22"/>
      <c r="D61" s="15"/>
      <c r="E61" s="527" t="s">
        <v>16</v>
      </c>
      <c r="F61" s="527"/>
      <c r="G61" s="8"/>
    </row>
    <row r="62" spans="1:7" x14ac:dyDescent="0.2">
      <c r="A62" s="8"/>
      <c r="B62" s="15"/>
      <c r="C62" s="15"/>
      <c r="D62" s="15"/>
      <c r="E62" s="15"/>
      <c r="F62" s="15"/>
      <c r="G62" s="15"/>
    </row>
    <row r="63" spans="1:7" x14ac:dyDescent="0.2">
      <c r="A63" s="4"/>
      <c r="B63" s="23"/>
      <c r="C63" s="23"/>
      <c r="D63" s="23"/>
      <c r="E63" s="23"/>
      <c r="F63" s="4"/>
      <c r="G63" s="8"/>
    </row>
    <row r="64" spans="1:7" x14ac:dyDescent="0.2">
      <c r="A64" s="440" t="s">
        <v>343</v>
      </c>
      <c r="B64" s="528" t="s">
        <v>259</v>
      </c>
      <c r="C64" s="528"/>
      <c r="D64" s="528"/>
      <c r="E64" s="23"/>
      <c r="F64" s="529" t="s">
        <v>271</v>
      </c>
      <c r="G64" s="529"/>
    </row>
    <row r="65" spans="1:7" x14ac:dyDescent="0.2">
      <c r="A65" s="441" t="s">
        <v>341</v>
      </c>
      <c r="B65" s="518" t="s">
        <v>270</v>
      </c>
      <c r="C65" s="518"/>
      <c r="D65" s="518"/>
      <c r="E65" s="15"/>
      <c r="F65" s="519" t="s">
        <v>51</v>
      </c>
      <c r="G65" s="519"/>
    </row>
    <row r="66" spans="1:7" x14ac:dyDescent="0.2">
      <c r="B66" s="113"/>
      <c r="C66" s="113"/>
      <c r="D66" s="113"/>
    </row>
    <row r="67" spans="1:7" x14ac:dyDescent="0.2">
      <c r="A67" s="18"/>
      <c r="B67" s="27"/>
      <c r="C67" s="34"/>
      <c r="D67" s="34"/>
      <c r="E67" s="34"/>
      <c r="F67" s="34"/>
      <c r="G67" s="34"/>
    </row>
    <row r="68" spans="1:7" x14ac:dyDescent="0.2">
      <c r="A68" s="8"/>
      <c r="B68" s="27"/>
      <c r="C68" s="27"/>
      <c r="D68" s="27"/>
      <c r="E68" s="27"/>
      <c r="F68" s="27"/>
      <c r="G68" s="27"/>
    </row>
    <row r="69" spans="1:7" x14ac:dyDescent="0.2">
      <c r="A69" s="8"/>
      <c r="B69" s="27"/>
      <c r="C69" s="27"/>
      <c r="D69" s="27"/>
      <c r="E69" s="27"/>
      <c r="F69" s="27"/>
      <c r="G69" s="27"/>
    </row>
    <row r="42341" spans="2:7" s="15" customFormat="1" ht="6" customHeight="1" x14ac:dyDescent="0.2">
      <c r="B42341" s="28"/>
      <c r="C42341" s="28"/>
      <c r="D42341" s="28"/>
      <c r="E42341" s="28"/>
      <c r="F42341" s="28"/>
      <c r="G42341" s="28"/>
    </row>
    <row r="42342" spans="2:7" s="15" customFormat="1" ht="12.75" customHeight="1" x14ac:dyDescent="0.2">
      <c r="B42342" s="28"/>
      <c r="C42342" s="28"/>
      <c r="D42342" s="28"/>
      <c r="E42342" s="28"/>
      <c r="F42342" s="28"/>
      <c r="G42342" s="28"/>
    </row>
    <row r="42343" spans="2:7" s="15" customFormat="1" ht="12.75" customHeight="1" x14ac:dyDescent="0.2">
      <c r="B42343" s="28"/>
      <c r="C42343" s="28"/>
      <c r="D42343" s="28"/>
      <c r="E42343" s="28"/>
      <c r="F42343" s="28"/>
      <c r="G42343" s="28"/>
    </row>
    <row r="42344" spans="2:7" s="15" customFormat="1" ht="12.75" customHeight="1" x14ac:dyDescent="0.2">
      <c r="B42344" s="28"/>
      <c r="C42344" s="28"/>
      <c r="D42344" s="28"/>
      <c r="E42344" s="28"/>
      <c r="F42344" s="28"/>
      <c r="G42344" s="28"/>
    </row>
    <row r="42345" spans="2:7" s="15" customFormat="1" ht="12.75" customHeight="1" x14ac:dyDescent="0.2">
      <c r="B42345" s="28"/>
      <c r="C42345" s="28"/>
      <c r="D42345" s="28"/>
      <c r="E42345" s="28"/>
      <c r="F42345" s="28"/>
      <c r="G42345" s="28"/>
    </row>
    <row r="42346" spans="2:7" s="15" customFormat="1" ht="2.25" customHeight="1" x14ac:dyDescent="0.2">
      <c r="B42346" s="28"/>
      <c r="C42346" s="28"/>
      <c r="D42346" s="28"/>
      <c r="E42346" s="28"/>
      <c r="F42346" s="28"/>
      <c r="G42346" s="28"/>
    </row>
    <row r="42347" spans="2:7" s="15" customFormat="1" ht="12.75" customHeight="1" x14ac:dyDescent="0.2">
      <c r="B42347" s="28"/>
      <c r="C42347" s="28"/>
      <c r="D42347" s="28"/>
      <c r="E42347" s="28"/>
      <c r="F42347" s="28"/>
      <c r="G42347" s="28"/>
    </row>
    <row r="42348" spans="2:7" s="15" customFormat="1" ht="12.75" customHeight="1" x14ac:dyDescent="0.2">
      <c r="B42348" s="28"/>
      <c r="C42348" s="28"/>
      <c r="D42348" s="28"/>
      <c r="E42348" s="28"/>
      <c r="F42348" s="28"/>
      <c r="G42348" s="28"/>
    </row>
    <row r="42349" spans="2:7" s="15" customFormat="1" ht="12.75" customHeight="1" x14ac:dyDescent="0.2">
      <c r="B42349" s="28"/>
      <c r="C42349" s="28"/>
      <c r="D42349" s="28"/>
      <c r="E42349" s="28"/>
      <c r="F42349" s="28"/>
      <c r="G42349" s="28"/>
    </row>
    <row r="42350" spans="2:7" s="15" customFormat="1" ht="12.75" customHeight="1" x14ac:dyDescent="0.2">
      <c r="B42350" s="28"/>
      <c r="C42350" s="28"/>
      <c r="D42350" s="28"/>
      <c r="E42350" s="28"/>
      <c r="F42350" s="28"/>
      <c r="G42350" s="28"/>
    </row>
  </sheetData>
  <mergeCells count="9">
    <mergeCell ref="A5:G5"/>
    <mergeCell ref="E61:F61"/>
    <mergeCell ref="B64:D64"/>
    <mergeCell ref="F64:G64"/>
    <mergeCell ref="B65:D65"/>
    <mergeCell ref="F65:G65"/>
    <mergeCell ref="A10:A12"/>
    <mergeCell ref="D10:F10"/>
    <mergeCell ref="F11:F12"/>
  </mergeCells>
  <pageMargins left="0.31496062992125984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K71"/>
  <sheetViews>
    <sheetView showWhiteSpace="0" view="pageBreakPreview" zoomScale="118" zoomScaleNormal="100" zoomScaleSheetLayoutView="118" zoomScalePageLayoutView="130" workbookViewId="0">
      <selection activeCell="A6" sqref="A6:H9"/>
    </sheetView>
  </sheetViews>
  <sheetFormatPr defaultColWidth="9.28515625" defaultRowHeight="12.75" x14ac:dyDescent="0.2"/>
  <cols>
    <col min="1" max="1" width="15.7109375" style="15" customWidth="1"/>
    <col min="2" max="2" width="2.7109375" style="15" customWidth="1"/>
    <col min="3" max="3" width="27.7109375" style="15" customWidth="1"/>
    <col min="4" max="4" width="13.5703125" style="28" customWidth="1"/>
    <col min="5" max="5" width="20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ht="30" customHeight="1" x14ac:dyDescent="0.2">
      <c r="A1" s="478" t="s">
        <v>344</v>
      </c>
      <c r="B1" s="471"/>
      <c r="C1" s="471"/>
      <c r="D1" s="471"/>
      <c r="E1" s="471"/>
      <c r="F1" s="471"/>
      <c r="G1" s="471"/>
      <c r="H1" s="8"/>
      <c r="I1" s="4"/>
    </row>
    <row r="2" spans="1:11" ht="15" customHeight="1" x14ac:dyDescent="0.2">
      <c r="A2" s="478" t="s">
        <v>345</v>
      </c>
      <c r="B2" s="479"/>
      <c r="C2" s="479"/>
      <c r="D2" s="479"/>
      <c r="E2" s="479"/>
      <c r="F2" s="479"/>
      <c r="G2" s="479"/>
      <c r="H2" s="8"/>
      <c r="I2" s="4"/>
    </row>
    <row r="3" spans="1:11" ht="12.75" customHeight="1" x14ac:dyDescent="0.2">
      <c r="A3" s="480" t="s">
        <v>346</v>
      </c>
      <c r="B3" s="479"/>
      <c r="C3" s="479"/>
      <c r="D3" s="479"/>
      <c r="E3" s="479"/>
      <c r="F3" s="479"/>
      <c r="G3" s="479"/>
      <c r="H3" s="8"/>
      <c r="I3" s="4"/>
    </row>
    <row r="4" spans="1:11" ht="20.25" customHeight="1" x14ac:dyDescent="0.2">
      <c r="A4" s="474"/>
      <c r="B4" s="474"/>
      <c r="C4" s="474"/>
      <c r="D4" s="474"/>
      <c r="E4" s="474"/>
      <c r="F4" s="474"/>
      <c r="G4" s="474"/>
      <c r="H4" s="8"/>
      <c r="I4" s="4"/>
    </row>
    <row r="5" spans="1:11" ht="12" customHeight="1" x14ac:dyDescent="0.25">
      <c r="A5" s="530" t="s">
        <v>347</v>
      </c>
      <c r="B5" s="530"/>
      <c r="C5" s="530"/>
      <c r="D5" s="530"/>
      <c r="E5" s="530"/>
      <c r="F5" s="530"/>
      <c r="G5" s="530"/>
      <c r="H5" s="8"/>
      <c r="I5" s="4"/>
    </row>
    <row r="6" spans="1:11" ht="16.5" customHeight="1" x14ac:dyDescent="0.2">
      <c r="A6" s="492"/>
      <c r="B6" s="492"/>
      <c r="C6" s="492"/>
      <c r="D6" s="492"/>
      <c r="E6" s="492"/>
      <c r="F6" s="492"/>
      <c r="G6" s="492"/>
      <c r="H6" s="493"/>
      <c r="I6" s="4"/>
    </row>
    <row r="7" spans="1:11" ht="24.75" customHeight="1" x14ac:dyDescent="0.2">
      <c r="A7" s="490" t="s">
        <v>348</v>
      </c>
      <c r="B7" s="494" t="s">
        <v>349</v>
      </c>
      <c r="C7" s="495"/>
      <c r="D7" s="490" t="s">
        <v>350</v>
      </c>
      <c r="E7" s="494">
        <v>2024</v>
      </c>
      <c r="F7" s="495"/>
      <c r="G7" s="495"/>
      <c r="H7" s="493"/>
      <c r="I7" s="4"/>
    </row>
    <row r="8" spans="1:11" ht="24.75" customHeight="1" x14ac:dyDescent="0.2">
      <c r="A8" s="491" t="s">
        <v>351</v>
      </c>
      <c r="B8" s="496" t="s">
        <v>352</v>
      </c>
      <c r="C8" s="497"/>
      <c r="D8" s="491" t="s">
        <v>353</v>
      </c>
      <c r="E8" s="498" t="s">
        <v>360</v>
      </c>
      <c r="F8" s="497"/>
      <c r="G8" s="497"/>
      <c r="H8" s="493"/>
      <c r="I8" s="4"/>
    </row>
    <row r="9" spans="1:11" ht="24.75" customHeight="1" thickBot="1" x14ac:dyDescent="0.25">
      <c r="A9" s="491" t="s">
        <v>354</v>
      </c>
      <c r="B9" s="496" t="s">
        <v>355</v>
      </c>
      <c r="C9" s="497"/>
      <c r="D9" s="497"/>
      <c r="E9" s="497"/>
      <c r="F9" s="497"/>
      <c r="G9" s="497"/>
      <c r="H9" s="493"/>
      <c r="I9" s="4"/>
    </row>
    <row r="10" spans="1:11" ht="13.5" thickBot="1" x14ac:dyDescent="0.25">
      <c r="A10" s="520" t="s">
        <v>27</v>
      </c>
      <c r="B10" s="532"/>
      <c r="C10" s="532"/>
      <c r="D10" s="448" t="s">
        <v>15</v>
      </c>
      <c r="E10" s="443" t="s">
        <v>1</v>
      </c>
      <c r="F10" s="522" t="s">
        <v>329</v>
      </c>
      <c r="G10" s="523"/>
      <c r="H10" s="524"/>
      <c r="I10" s="444" t="s">
        <v>3</v>
      </c>
    </row>
    <row r="11" spans="1:11" x14ac:dyDescent="0.2">
      <c r="A11" s="521"/>
      <c r="B11" s="534"/>
      <c r="C11" s="534"/>
      <c r="D11" s="449" t="s">
        <v>0</v>
      </c>
      <c r="E11" s="446">
        <v>2022</v>
      </c>
      <c r="F11" s="156" t="s">
        <v>167</v>
      </c>
      <c r="G11" s="245" t="s">
        <v>168</v>
      </c>
      <c r="H11" s="525" t="s">
        <v>169</v>
      </c>
      <c r="I11" s="447">
        <v>2024</v>
      </c>
    </row>
    <row r="12" spans="1:11" x14ac:dyDescent="0.2">
      <c r="A12" s="521"/>
      <c r="B12" s="534"/>
      <c r="C12" s="534"/>
      <c r="D12" s="180"/>
      <c r="E12" s="446" t="s">
        <v>2</v>
      </c>
      <c r="F12" s="449" t="s">
        <v>2</v>
      </c>
      <c r="G12" s="446" t="s">
        <v>183</v>
      </c>
      <c r="H12" s="526"/>
      <c r="I12" s="447" t="s">
        <v>33</v>
      </c>
    </row>
    <row r="13" spans="1:11" s="61" customFormat="1" ht="13.5" thickBot="1" x14ac:dyDescent="0.25">
      <c r="A13" s="451" t="s">
        <v>28</v>
      </c>
      <c r="B13" s="452"/>
      <c r="C13" s="452"/>
      <c r="D13" s="158" t="s">
        <v>29</v>
      </c>
      <c r="E13" s="452" t="s">
        <v>30</v>
      </c>
      <c r="F13" s="158" t="s">
        <v>31</v>
      </c>
      <c r="G13" s="452" t="s">
        <v>32</v>
      </c>
      <c r="H13" s="158" t="s">
        <v>170</v>
      </c>
      <c r="I13" s="453" t="s">
        <v>171</v>
      </c>
      <c r="K13" s="457"/>
    </row>
    <row r="14" spans="1:11" ht="9.75" customHeight="1" x14ac:dyDescent="0.2">
      <c r="A14" s="163" t="s">
        <v>4</v>
      </c>
      <c r="B14" s="4"/>
      <c r="C14" s="4"/>
      <c r="D14" s="159"/>
      <c r="E14" s="27"/>
      <c r="F14" s="159"/>
      <c r="G14" s="27"/>
      <c r="H14" s="159"/>
      <c r="I14" s="141"/>
    </row>
    <row r="15" spans="1:11" ht="11.25" customHeight="1" x14ac:dyDescent="0.2">
      <c r="A15" s="163" t="s">
        <v>5</v>
      </c>
      <c r="B15" s="4"/>
      <c r="C15" s="4"/>
      <c r="D15" s="159"/>
      <c r="E15" s="39"/>
      <c r="F15" s="160"/>
      <c r="G15" s="27"/>
      <c r="H15" s="160"/>
      <c r="I15" s="142"/>
    </row>
    <row r="16" spans="1:11" x14ac:dyDescent="0.2">
      <c r="A16" s="136" t="s">
        <v>46</v>
      </c>
      <c r="B16" s="85"/>
      <c r="C16" s="85"/>
      <c r="D16" s="181" t="s">
        <v>100</v>
      </c>
      <c r="E16" s="166">
        <v>3153128.2</v>
      </c>
      <c r="F16" s="161">
        <v>1594112.56</v>
      </c>
      <c r="G16" s="166">
        <f t="shared" ref="G16:G27" si="0">H16-F16</f>
        <v>2193587.44</v>
      </c>
      <c r="H16" s="376">
        <f>3491000+296700</f>
        <v>3787700</v>
      </c>
      <c r="I16" s="281">
        <v>4061000</v>
      </c>
      <c r="K16" s="458">
        <v>3784833</v>
      </c>
    </row>
    <row r="17" spans="1:11" x14ac:dyDescent="0.2">
      <c r="A17" s="136" t="s">
        <v>193</v>
      </c>
      <c r="B17" s="85"/>
      <c r="C17" s="85"/>
      <c r="D17" s="181" t="s">
        <v>101</v>
      </c>
      <c r="E17" s="166">
        <v>314454.57</v>
      </c>
      <c r="F17" s="161">
        <v>149318.19</v>
      </c>
      <c r="G17" s="166">
        <f t="shared" si="0"/>
        <v>204681.81</v>
      </c>
      <c r="H17" s="376">
        <f>336000+18000</f>
        <v>354000</v>
      </c>
      <c r="I17" s="281">
        <v>384000</v>
      </c>
      <c r="K17" s="458">
        <v>158520</v>
      </c>
    </row>
    <row r="18" spans="1:11" x14ac:dyDescent="0.2">
      <c r="A18" s="136" t="s">
        <v>40</v>
      </c>
      <c r="B18" s="85"/>
      <c r="C18" s="85"/>
      <c r="D18" s="181" t="s">
        <v>120</v>
      </c>
      <c r="E18" s="166">
        <v>81000</v>
      </c>
      <c r="F18" s="161">
        <v>40500</v>
      </c>
      <c r="G18" s="166">
        <f t="shared" si="0"/>
        <v>40500</v>
      </c>
      <c r="H18" s="376">
        <f>81000</f>
        <v>81000</v>
      </c>
      <c r="I18" s="281">
        <v>81000</v>
      </c>
      <c r="K18" s="458">
        <v>2929</v>
      </c>
    </row>
    <row r="19" spans="1:11" x14ac:dyDescent="0.2">
      <c r="A19" s="136" t="s">
        <v>42</v>
      </c>
      <c r="B19" s="85"/>
      <c r="C19" s="85"/>
      <c r="D19" s="181" t="s">
        <v>102</v>
      </c>
      <c r="E19" s="166">
        <v>78000</v>
      </c>
      <c r="F19" s="161">
        <v>78000</v>
      </c>
      <c r="G19" s="166">
        <f t="shared" si="0"/>
        <v>12000</v>
      </c>
      <c r="H19" s="376">
        <f>84000+6000</f>
        <v>90000</v>
      </c>
      <c r="I19" s="281">
        <v>96000</v>
      </c>
      <c r="K19" s="458">
        <f>SUM(K16:K18)</f>
        <v>3946282</v>
      </c>
    </row>
    <row r="20" spans="1:11" s="61" customFormat="1" x14ac:dyDescent="0.2">
      <c r="A20" s="137" t="s">
        <v>182</v>
      </c>
      <c r="B20" s="101"/>
      <c r="C20" s="101"/>
      <c r="D20" s="288" t="s">
        <v>158</v>
      </c>
      <c r="E20" s="246">
        <v>0</v>
      </c>
      <c r="F20" s="239">
        <v>0</v>
      </c>
      <c r="G20" s="166">
        <f t="shared" si="0"/>
        <v>0</v>
      </c>
      <c r="H20" s="377">
        <v>0</v>
      </c>
      <c r="I20" s="253">
        <v>0</v>
      </c>
      <c r="K20" s="457"/>
    </row>
    <row r="21" spans="1:11" x14ac:dyDescent="0.2">
      <c r="A21" s="136" t="s">
        <v>34</v>
      </c>
      <c r="B21" s="85"/>
      <c r="C21" s="85"/>
      <c r="D21" s="181" t="s">
        <v>126</v>
      </c>
      <c r="E21" s="166">
        <v>200000</v>
      </c>
      <c r="F21" s="161">
        <v>86517.34</v>
      </c>
      <c r="G21" s="166">
        <f t="shared" si="0"/>
        <v>113482.66</v>
      </c>
      <c r="H21" s="375">
        <v>200000</v>
      </c>
      <c r="I21" s="144">
        <v>200000</v>
      </c>
    </row>
    <row r="22" spans="1:11" x14ac:dyDescent="0.2">
      <c r="A22" s="136" t="s">
        <v>94</v>
      </c>
      <c r="B22" s="85"/>
      <c r="C22" s="85"/>
      <c r="D22" s="181" t="s">
        <v>104</v>
      </c>
      <c r="E22" s="166">
        <v>253562</v>
      </c>
      <c r="F22" s="161">
        <v>0</v>
      </c>
      <c r="G22" s="166">
        <f t="shared" si="0"/>
        <v>324000</v>
      </c>
      <c r="H22" s="376">
        <f>291000+33000</f>
        <v>324000</v>
      </c>
      <c r="I22" s="281">
        <v>339000</v>
      </c>
    </row>
    <row r="23" spans="1:11" x14ac:dyDescent="0.2">
      <c r="A23" s="136" t="s">
        <v>150</v>
      </c>
      <c r="B23" s="85"/>
      <c r="C23" s="85"/>
      <c r="D23" s="181" t="s">
        <v>127</v>
      </c>
      <c r="E23" s="166">
        <v>253562</v>
      </c>
      <c r="F23" s="161">
        <v>254455</v>
      </c>
      <c r="G23" s="166">
        <f t="shared" si="0"/>
        <v>69545</v>
      </c>
      <c r="H23" s="376">
        <f>291000+33000</f>
        <v>324000</v>
      </c>
      <c r="I23" s="281">
        <v>339000</v>
      </c>
    </row>
    <row r="24" spans="1:11" x14ac:dyDescent="0.2">
      <c r="A24" s="136" t="s">
        <v>10</v>
      </c>
      <c r="B24" s="85"/>
      <c r="C24" s="85"/>
      <c r="D24" s="181" t="s">
        <v>103</v>
      </c>
      <c r="E24" s="166">
        <v>63500</v>
      </c>
      <c r="F24" s="161">
        <v>0</v>
      </c>
      <c r="G24" s="166">
        <f t="shared" si="0"/>
        <v>75000</v>
      </c>
      <c r="H24" s="376">
        <f>70000+5000</f>
        <v>75000</v>
      </c>
      <c r="I24" s="281">
        <v>80000</v>
      </c>
    </row>
    <row r="25" spans="1:11" x14ac:dyDescent="0.2">
      <c r="A25" s="136" t="s">
        <v>160</v>
      </c>
      <c r="B25" s="85"/>
      <c r="C25" s="85"/>
      <c r="D25" s="181" t="s">
        <v>105</v>
      </c>
      <c r="E25" s="166">
        <v>381805.83</v>
      </c>
      <c r="F25" s="161">
        <v>192602.16</v>
      </c>
      <c r="G25" s="166">
        <f t="shared" si="0"/>
        <v>261997.84</v>
      </c>
      <c r="H25" s="376">
        <f>419000+35600</f>
        <v>454600</v>
      </c>
      <c r="I25" s="281">
        <v>488000</v>
      </c>
    </row>
    <row r="26" spans="1:11" x14ac:dyDescent="0.2">
      <c r="A26" s="136" t="s">
        <v>57</v>
      </c>
      <c r="B26" s="85"/>
      <c r="C26" s="85"/>
      <c r="D26" s="181" t="s">
        <v>106</v>
      </c>
      <c r="E26" s="166">
        <v>63433.98</v>
      </c>
      <c r="F26" s="161">
        <v>32100.36</v>
      </c>
      <c r="G26" s="166">
        <f t="shared" si="0"/>
        <v>43899.64</v>
      </c>
      <c r="H26" s="376">
        <f>70000+6000</f>
        <v>76000</v>
      </c>
      <c r="I26" s="281">
        <v>82000</v>
      </c>
    </row>
    <row r="27" spans="1:11" x14ac:dyDescent="0.2">
      <c r="A27" s="136" t="s">
        <v>58</v>
      </c>
      <c r="B27" s="85"/>
      <c r="C27" s="85"/>
      <c r="D27" s="181" t="s">
        <v>107</v>
      </c>
      <c r="E27" s="166">
        <v>62255.519999999997</v>
      </c>
      <c r="F27" s="161">
        <v>31651.68</v>
      </c>
      <c r="G27" s="166">
        <f t="shared" si="0"/>
        <v>59248.32</v>
      </c>
      <c r="H27" s="376">
        <f>79000+11900</f>
        <v>90900</v>
      </c>
      <c r="I27" s="281">
        <v>102000</v>
      </c>
    </row>
    <row r="28" spans="1:11" x14ac:dyDescent="0.2">
      <c r="A28" s="136" t="s">
        <v>188</v>
      </c>
      <c r="B28" s="85"/>
      <c r="C28" s="85"/>
      <c r="D28" s="181"/>
      <c r="E28" s="166"/>
      <c r="F28" s="161"/>
      <c r="G28" s="166"/>
      <c r="H28" s="376"/>
      <c r="I28" s="281"/>
    </row>
    <row r="29" spans="1:11" x14ac:dyDescent="0.2">
      <c r="A29" s="136" t="s">
        <v>189</v>
      </c>
      <c r="B29" s="85"/>
      <c r="C29" s="85"/>
      <c r="D29" s="181" t="s">
        <v>108</v>
      </c>
      <c r="E29" s="166">
        <v>15600</v>
      </c>
      <c r="F29" s="161">
        <v>7600</v>
      </c>
      <c r="G29" s="166">
        <f t="shared" ref="G29:G35" si="1">H29-F29</f>
        <v>10100</v>
      </c>
      <c r="H29" s="376">
        <f>16800+900</f>
        <v>17700</v>
      </c>
      <c r="I29" s="281">
        <v>20000</v>
      </c>
    </row>
    <row r="30" spans="1:11" x14ac:dyDescent="0.2">
      <c r="A30" s="136" t="s">
        <v>45</v>
      </c>
      <c r="B30" s="85"/>
      <c r="C30" s="85"/>
      <c r="D30" s="181" t="s">
        <v>128</v>
      </c>
      <c r="E30" s="166">
        <v>122873.56</v>
      </c>
      <c r="F30" s="161">
        <v>145863.78</v>
      </c>
      <c r="G30" s="166">
        <f t="shared" si="1"/>
        <v>154136.22</v>
      </c>
      <c r="H30" s="376">
        <v>300000</v>
      </c>
      <c r="I30" s="281">
        <f>290000-1000</f>
        <v>289000</v>
      </c>
    </row>
    <row r="31" spans="1:11" x14ac:dyDescent="0.2">
      <c r="A31" s="136" t="s">
        <v>60</v>
      </c>
      <c r="B31" s="85"/>
      <c r="C31" s="85"/>
      <c r="D31" s="181" t="s">
        <v>129</v>
      </c>
      <c r="E31" s="167">
        <v>62500</v>
      </c>
      <c r="F31" s="193">
        <v>0</v>
      </c>
      <c r="G31" s="166">
        <f t="shared" si="1"/>
        <v>75000</v>
      </c>
      <c r="H31" s="376">
        <f>70000+5000</f>
        <v>75000</v>
      </c>
      <c r="I31" s="281">
        <v>80000</v>
      </c>
    </row>
    <row r="32" spans="1:11" x14ac:dyDescent="0.2">
      <c r="A32" s="137" t="s">
        <v>72</v>
      </c>
      <c r="B32" s="101"/>
      <c r="C32" s="101"/>
      <c r="D32" s="181" t="s">
        <v>130</v>
      </c>
      <c r="E32" s="167">
        <v>10000</v>
      </c>
      <c r="F32" s="193">
        <v>0</v>
      </c>
      <c r="G32" s="166">
        <f t="shared" si="1"/>
        <v>0</v>
      </c>
      <c r="H32" s="193">
        <v>0</v>
      </c>
      <c r="I32" s="281">
        <v>0</v>
      </c>
    </row>
    <row r="33" spans="1:11" x14ac:dyDescent="0.2">
      <c r="A33" s="137" t="s">
        <v>89</v>
      </c>
      <c r="B33" s="101"/>
      <c r="C33" s="101"/>
      <c r="D33" s="181" t="s">
        <v>131</v>
      </c>
      <c r="E33" s="167">
        <v>0</v>
      </c>
      <c r="F33" s="193">
        <v>0</v>
      </c>
      <c r="G33" s="166">
        <f t="shared" si="1"/>
        <v>0</v>
      </c>
      <c r="H33" s="193">
        <v>0</v>
      </c>
      <c r="I33" s="281">
        <v>0</v>
      </c>
    </row>
    <row r="34" spans="1:11" x14ac:dyDescent="0.2">
      <c r="A34" s="137" t="s">
        <v>260</v>
      </c>
      <c r="B34" s="101"/>
      <c r="C34" s="101"/>
      <c r="D34" s="184" t="s">
        <v>261</v>
      </c>
      <c r="E34" s="169">
        <v>325000</v>
      </c>
      <c r="F34" s="200">
        <v>0</v>
      </c>
      <c r="G34" s="166">
        <f t="shared" si="1"/>
        <v>0</v>
      </c>
      <c r="H34" s="200">
        <v>0</v>
      </c>
      <c r="I34" s="155">
        <v>0</v>
      </c>
    </row>
    <row r="35" spans="1:11" s="61" customFormat="1" ht="13.5" thickBot="1" x14ac:dyDescent="0.25">
      <c r="A35" s="164" t="s">
        <v>293</v>
      </c>
      <c r="B35" s="101"/>
      <c r="C35" s="101"/>
      <c r="D35" s="289" t="s">
        <v>292</v>
      </c>
      <c r="E35" s="248">
        <v>248000</v>
      </c>
      <c r="F35" s="241">
        <v>0</v>
      </c>
      <c r="G35" s="166">
        <f t="shared" si="1"/>
        <v>0</v>
      </c>
      <c r="H35" s="241">
        <v>0</v>
      </c>
      <c r="I35" s="254">
        <v>0</v>
      </c>
      <c r="K35" s="457"/>
    </row>
    <row r="36" spans="1:11" ht="11.25" customHeight="1" thickBot="1" x14ac:dyDescent="0.25">
      <c r="A36" s="12" t="s">
        <v>75</v>
      </c>
      <c r="B36" s="98"/>
      <c r="C36" s="98"/>
      <c r="D36" s="72"/>
      <c r="E36" s="68">
        <f>SUM(E16:E35)</f>
        <v>5688675.6599999992</v>
      </c>
      <c r="F36" s="52">
        <f>SUM(F16:F35)</f>
        <v>2612721.0699999998</v>
      </c>
      <c r="G36" s="68">
        <f>SUM(G16:G35)</f>
        <v>3637178.93</v>
      </c>
      <c r="H36" s="388">
        <f>SUM(H16:H35)</f>
        <v>6249900</v>
      </c>
      <c r="I36" s="298">
        <f>SUM(I16:I35)</f>
        <v>6641000</v>
      </c>
    </row>
    <row r="37" spans="1:11" x14ac:dyDescent="0.2">
      <c r="A37" s="163" t="s">
        <v>20</v>
      </c>
      <c r="B37" s="4"/>
      <c r="C37" s="4"/>
      <c r="D37" s="299"/>
      <c r="E37" s="171"/>
      <c r="F37" s="162"/>
      <c r="G37" s="171"/>
      <c r="H37" s="380"/>
      <c r="I37" s="146"/>
    </row>
    <row r="38" spans="1:11" x14ac:dyDescent="0.2">
      <c r="A38" s="137" t="s">
        <v>8</v>
      </c>
      <c r="B38" s="85"/>
      <c r="C38" s="85"/>
      <c r="D38" s="181" t="s">
        <v>109</v>
      </c>
      <c r="E38" s="167">
        <v>252171.34</v>
      </c>
      <c r="F38" s="193">
        <v>70465</v>
      </c>
      <c r="G38" s="166">
        <f t="shared" ref="G38:G46" si="2">H38-F38</f>
        <v>169535</v>
      </c>
      <c r="H38" s="382">
        <v>240000</v>
      </c>
      <c r="I38" s="149">
        <v>280000</v>
      </c>
    </row>
    <row r="39" spans="1:11" x14ac:dyDescent="0.2">
      <c r="A39" s="137" t="s">
        <v>281</v>
      </c>
      <c r="B39" s="85"/>
      <c r="C39" s="85"/>
      <c r="D39" s="181" t="s">
        <v>110</v>
      </c>
      <c r="E39" s="167">
        <v>138400</v>
      </c>
      <c r="F39" s="193">
        <v>52000</v>
      </c>
      <c r="G39" s="166">
        <f t="shared" si="2"/>
        <v>68000</v>
      </c>
      <c r="H39" s="382">
        <v>120000</v>
      </c>
      <c r="I39" s="149">
        <v>120000</v>
      </c>
    </row>
    <row r="40" spans="1:11" x14ac:dyDescent="0.2">
      <c r="A40" s="137" t="s">
        <v>13</v>
      </c>
      <c r="B40" s="85"/>
      <c r="C40" s="85"/>
      <c r="D40" s="181" t="s">
        <v>111</v>
      </c>
      <c r="E40" s="167">
        <v>109369</v>
      </c>
      <c r="F40" s="193">
        <v>64111</v>
      </c>
      <c r="G40" s="166">
        <f t="shared" si="2"/>
        <v>75889</v>
      </c>
      <c r="H40" s="382">
        <v>140000</v>
      </c>
      <c r="I40" s="149">
        <v>180000</v>
      </c>
    </row>
    <row r="41" spans="1:11" x14ac:dyDescent="0.2">
      <c r="A41" s="136" t="s">
        <v>80</v>
      </c>
      <c r="B41" s="85"/>
      <c r="C41" s="85"/>
      <c r="D41" s="181" t="s">
        <v>149</v>
      </c>
      <c r="E41" s="167">
        <v>198276.2</v>
      </c>
      <c r="F41" s="193">
        <v>100483</v>
      </c>
      <c r="G41" s="166">
        <f t="shared" si="2"/>
        <v>129517</v>
      </c>
      <c r="H41" s="382">
        <v>230000</v>
      </c>
      <c r="I41" s="149">
        <v>230000</v>
      </c>
    </row>
    <row r="42" spans="1:11" x14ac:dyDescent="0.2">
      <c r="A42" s="136" t="s">
        <v>163</v>
      </c>
      <c r="B42" s="85"/>
      <c r="C42" s="85"/>
      <c r="D42" s="181" t="s">
        <v>122</v>
      </c>
      <c r="E42" s="167">
        <v>129965</v>
      </c>
      <c r="F42" s="193">
        <v>80120</v>
      </c>
      <c r="G42" s="166">
        <f t="shared" si="2"/>
        <v>119880</v>
      </c>
      <c r="H42" s="382">
        <v>200000</v>
      </c>
      <c r="I42" s="149">
        <v>200000</v>
      </c>
    </row>
    <row r="43" spans="1:11" x14ac:dyDescent="0.2">
      <c r="A43" s="136" t="s">
        <v>164</v>
      </c>
      <c r="B43" s="85"/>
      <c r="C43" s="85"/>
      <c r="D43" s="181" t="s">
        <v>112</v>
      </c>
      <c r="E43" s="167">
        <v>55150</v>
      </c>
      <c r="F43" s="193">
        <v>56705</v>
      </c>
      <c r="G43" s="166">
        <f t="shared" si="2"/>
        <v>43295</v>
      </c>
      <c r="H43" s="382">
        <f>80000+20000</f>
        <v>100000</v>
      </c>
      <c r="I43" s="149">
        <v>100000</v>
      </c>
    </row>
    <row r="44" spans="1:11" x14ac:dyDescent="0.2">
      <c r="A44" s="136" t="s">
        <v>165</v>
      </c>
      <c r="B44" s="85"/>
      <c r="C44" s="85"/>
      <c r="D44" s="181" t="s">
        <v>113</v>
      </c>
      <c r="E44" s="167">
        <v>100</v>
      </c>
      <c r="F44" s="193">
        <v>0</v>
      </c>
      <c r="G44" s="166">
        <f t="shared" si="2"/>
        <v>0</v>
      </c>
      <c r="H44" s="382">
        <v>0</v>
      </c>
      <c r="I44" s="149">
        <v>0</v>
      </c>
    </row>
    <row r="45" spans="1:11" x14ac:dyDescent="0.2">
      <c r="A45" s="136" t="s">
        <v>166</v>
      </c>
      <c r="B45" s="85"/>
      <c r="C45" s="85"/>
      <c r="D45" s="181" t="s">
        <v>114</v>
      </c>
      <c r="E45" s="167">
        <v>33481.86</v>
      </c>
      <c r="F45" s="193">
        <v>17444</v>
      </c>
      <c r="G45" s="166">
        <f t="shared" si="2"/>
        <v>30556</v>
      </c>
      <c r="H45" s="382">
        <v>48000</v>
      </c>
      <c r="I45" s="149">
        <v>48000</v>
      </c>
    </row>
    <row r="46" spans="1:11" x14ac:dyDescent="0.2">
      <c r="A46" s="136" t="s">
        <v>247</v>
      </c>
      <c r="B46" s="85"/>
      <c r="C46" s="85"/>
      <c r="D46" s="184" t="s">
        <v>124</v>
      </c>
      <c r="E46" s="167">
        <v>20200</v>
      </c>
      <c r="F46" s="193">
        <v>0</v>
      </c>
      <c r="G46" s="166">
        <f t="shared" si="2"/>
        <v>50000</v>
      </c>
      <c r="H46" s="382">
        <v>50000</v>
      </c>
      <c r="I46" s="149">
        <v>70000</v>
      </c>
    </row>
    <row r="47" spans="1:11" x14ac:dyDescent="0.2">
      <c r="A47" s="136" t="s">
        <v>214</v>
      </c>
      <c r="B47" s="85"/>
      <c r="C47" s="85"/>
      <c r="D47" s="184"/>
      <c r="E47" s="167"/>
      <c r="F47" s="193"/>
      <c r="G47" s="166"/>
      <c r="H47" s="382"/>
      <c r="I47" s="149"/>
    </row>
    <row r="48" spans="1:11" x14ac:dyDescent="0.2">
      <c r="A48" s="136" t="s">
        <v>215</v>
      </c>
      <c r="B48" s="85"/>
      <c r="C48" s="85"/>
      <c r="D48" s="181" t="s">
        <v>148</v>
      </c>
      <c r="E48" s="167">
        <v>43790</v>
      </c>
      <c r="F48" s="193">
        <v>24246</v>
      </c>
      <c r="G48" s="166">
        <f>H48-F48</f>
        <v>55754</v>
      </c>
      <c r="H48" s="382">
        <v>80000</v>
      </c>
      <c r="I48" s="149">
        <v>80000</v>
      </c>
    </row>
    <row r="49" spans="1:9" x14ac:dyDescent="0.2">
      <c r="A49" s="136" t="s">
        <v>204</v>
      </c>
      <c r="B49" s="85"/>
      <c r="C49" s="85"/>
      <c r="D49" s="181"/>
      <c r="E49" s="167"/>
      <c r="F49" s="193"/>
      <c r="G49" s="166"/>
      <c r="H49" s="382"/>
      <c r="I49" s="149"/>
    </row>
    <row r="50" spans="1:9" x14ac:dyDescent="0.2">
      <c r="A50" s="136" t="s">
        <v>213</v>
      </c>
      <c r="B50" s="85"/>
      <c r="C50" s="85"/>
      <c r="D50" s="181" t="s">
        <v>115</v>
      </c>
      <c r="E50" s="167">
        <v>2000</v>
      </c>
      <c r="F50" s="193">
        <v>0</v>
      </c>
      <c r="G50" s="166">
        <f t="shared" ref="G50:G55" si="3">H50-F50</f>
        <v>20000</v>
      </c>
      <c r="H50" s="382">
        <v>20000</v>
      </c>
      <c r="I50" s="149">
        <v>0</v>
      </c>
    </row>
    <row r="51" spans="1:9" x14ac:dyDescent="0.2">
      <c r="A51" s="136" t="s">
        <v>47</v>
      </c>
      <c r="B51" s="85"/>
      <c r="C51" s="85"/>
      <c r="D51" s="181" t="s">
        <v>143</v>
      </c>
      <c r="E51" s="167">
        <v>0</v>
      </c>
      <c r="F51" s="193">
        <v>0</v>
      </c>
      <c r="G51" s="166">
        <f t="shared" si="3"/>
        <v>0</v>
      </c>
      <c r="H51" s="382">
        <v>0</v>
      </c>
      <c r="I51" s="149">
        <v>0</v>
      </c>
    </row>
    <row r="52" spans="1:9" x14ac:dyDescent="0.2">
      <c r="A52" s="136" t="s">
        <v>21</v>
      </c>
      <c r="B52" s="85"/>
      <c r="C52" s="85"/>
      <c r="D52" s="181" t="s">
        <v>144</v>
      </c>
      <c r="E52" s="167">
        <v>77636.25</v>
      </c>
      <c r="F52" s="193">
        <v>45382.5</v>
      </c>
      <c r="G52" s="166">
        <f t="shared" si="3"/>
        <v>34617.5</v>
      </c>
      <c r="H52" s="382">
        <v>80000</v>
      </c>
      <c r="I52" s="149">
        <v>80000</v>
      </c>
    </row>
    <row r="53" spans="1:9" x14ac:dyDescent="0.2">
      <c r="A53" s="136" t="s">
        <v>12</v>
      </c>
      <c r="B53" s="85"/>
      <c r="C53" s="85"/>
      <c r="D53" s="181" t="s">
        <v>145</v>
      </c>
      <c r="E53" s="167">
        <v>0</v>
      </c>
      <c r="F53" s="193">
        <v>0</v>
      </c>
      <c r="G53" s="166">
        <f t="shared" si="3"/>
        <v>0</v>
      </c>
      <c r="H53" s="382">
        <v>0</v>
      </c>
      <c r="I53" s="149">
        <v>0</v>
      </c>
    </row>
    <row r="54" spans="1:9" x14ac:dyDescent="0.2">
      <c r="A54" s="136" t="s">
        <v>64</v>
      </c>
      <c r="B54" s="85"/>
      <c r="C54" s="85"/>
      <c r="D54" s="181" t="s">
        <v>137</v>
      </c>
      <c r="E54" s="167">
        <v>11900</v>
      </c>
      <c r="F54" s="193">
        <v>4000</v>
      </c>
      <c r="G54" s="166">
        <f t="shared" si="3"/>
        <v>36000</v>
      </c>
      <c r="H54" s="382">
        <v>40000</v>
      </c>
      <c r="I54" s="149">
        <v>40000</v>
      </c>
    </row>
    <row r="55" spans="1:9" ht="13.5" thickBot="1" x14ac:dyDescent="0.25">
      <c r="A55" s="136" t="s">
        <v>22</v>
      </c>
      <c r="B55" s="85"/>
      <c r="C55" s="85"/>
      <c r="D55" s="184" t="s">
        <v>116</v>
      </c>
      <c r="E55" s="169">
        <v>174967.99</v>
      </c>
      <c r="F55" s="200">
        <v>32854.75</v>
      </c>
      <c r="G55" s="166">
        <f t="shared" si="3"/>
        <v>65425.25</v>
      </c>
      <c r="H55" s="383">
        <v>98280</v>
      </c>
      <c r="I55" s="153">
        <v>100000</v>
      </c>
    </row>
    <row r="56" spans="1:9" ht="11.25" customHeight="1" thickBot="1" x14ac:dyDescent="0.25">
      <c r="A56" s="12" t="s">
        <v>76</v>
      </c>
      <c r="B56" s="98"/>
      <c r="C56" s="98"/>
      <c r="D56" s="72"/>
      <c r="E56" s="76">
        <f>SUM(E38:E55)</f>
        <v>1247407.6399999999</v>
      </c>
      <c r="F56" s="75">
        <f>SUM(F38:F55)</f>
        <v>547811.25</v>
      </c>
      <c r="G56" s="76">
        <f>SUM(G38:G55)</f>
        <v>898468.75</v>
      </c>
      <c r="H56" s="384">
        <f>SUM(H38:H55)</f>
        <v>1446280</v>
      </c>
      <c r="I56" s="74">
        <f>SUM(I38:I55)</f>
        <v>1528000</v>
      </c>
    </row>
    <row r="57" spans="1:9" x14ac:dyDescent="0.2">
      <c r="A57" s="163" t="s">
        <v>9</v>
      </c>
      <c r="B57" s="4"/>
      <c r="C57" s="4"/>
      <c r="D57" s="183"/>
      <c r="E57" s="171"/>
      <c r="F57" s="162"/>
      <c r="G57" s="171"/>
      <c r="H57" s="389"/>
      <c r="I57" s="207"/>
    </row>
    <row r="58" spans="1:9" x14ac:dyDescent="0.2">
      <c r="A58" s="137" t="s">
        <v>52</v>
      </c>
      <c r="B58" s="101"/>
      <c r="C58" s="101"/>
      <c r="D58" s="181" t="s">
        <v>117</v>
      </c>
      <c r="E58" s="193">
        <v>0</v>
      </c>
      <c r="F58" s="193">
        <v>0</v>
      </c>
      <c r="G58" s="167">
        <f>H58-F58</f>
        <v>0</v>
      </c>
      <c r="H58" s="382">
        <v>0</v>
      </c>
      <c r="I58" s="207">
        <v>0</v>
      </c>
    </row>
    <row r="59" spans="1:9" x14ac:dyDescent="0.2">
      <c r="A59" s="136" t="s">
        <v>209</v>
      </c>
      <c r="B59" s="85"/>
      <c r="C59" s="85"/>
      <c r="D59" s="181"/>
      <c r="E59" s="422"/>
      <c r="F59" s="193"/>
      <c r="G59" s="167"/>
      <c r="H59" s="382"/>
      <c r="I59" s="149"/>
    </row>
    <row r="60" spans="1:9" x14ac:dyDescent="0.2">
      <c r="A60" s="136" t="s">
        <v>216</v>
      </c>
      <c r="B60" s="85"/>
      <c r="C60" s="85"/>
      <c r="D60" s="181" t="s">
        <v>125</v>
      </c>
      <c r="E60" s="193">
        <v>140000</v>
      </c>
      <c r="F60" s="193">
        <v>80000</v>
      </c>
      <c r="G60" s="167">
        <f>H60-F60</f>
        <v>0</v>
      </c>
      <c r="H60" s="382">
        <v>80000</v>
      </c>
      <c r="I60" s="149">
        <v>0</v>
      </c>
    </row>
    <row r="61" spans="1:9" x14ac:dyDescent="0.2">
      <c r="A61" s="136" t="s">
        <v>82</v>
      </c>
      <c r="B61" s="85"/>
      <c r="C61" s="85"/>
      <c r="D61" s="181" t="s">
        <v>118</v>
      </c>
      <c r="E61" s="193">
        <v>0</v>
      </c>
      <c r="F61" s="193">
        <v>0</v>
      </c>
      <c r="G61" s="167">
        <f>H61-F61</f>
        <v>0</v>
      </c>
      <c r="H61" s="382">
        <v>0</v>
      </c>
      <c r="I61" s="149">
        <v>0</v>
      </c>
    </row>
    <row r="62" spans="1:9" ht="13.5" thickBot="1" x14ac:dyDescent="0.25">
      <c r="A62" s="136" t="s">
        <v>185</v>
      </c>
      <c r="B62" s="85"/>
      <c r="C62" s="85"/>
      <c r="D62" s="181" t="s">
        <v>119</v>
      </c>
      <c r="E62" s="193">
        <v>0</v>
      </c>
      <c r="F62" s="193">
        <v>0</v>
      </c>
      <c r="G62" s="167">
        <f>H62-F62</f>
        <v>0</v>
      </c>
      <c r="H62" s="382">
        <v>0</v>
      </c>
      <c r="I62" s="149">
        <v>0</v>
      </c>
    </row>
    <row r="63" spans="1:9" ht="11.25" customHeight="1" thickBot="1" x14ac:dyDescent="0.25">
      <c r="A63" s="12" t="s">
        <v>77</v>
      </c>
      <c r="B63" s="98"/>
      <c r="C63" s="98"/>
      <c r="D63" s="80"/>
      <c r="E63" s="76">
        <f>SUM(E58:E62)</f>
        <v>140000</v>
      </c>
      <c r="F63" s="75">
        <f>SUM(F58:F62)</f>
        <v>80000</v>
      </c>
      <c r="G63" s="75">
        <f>SUM(G58:G62)</f>
        <v>0</v>
      </c>
      <c r="H63" s="75">
        <f>SUM(H58:H62)</f>
        <v>80000</v>
      </c>
      <c r="I63" s="74">
        <f>SUM(I59:I62)</f>
        <v>0</v>
      </c>
    </row>
    <row r="64" spans="1:9" ht="12" customHeight="1" thickBot="1" x14ac:dyDescent="0.25">
      <c r="A64" s="5" t="s">
        <v>53</v>
      </c>
      <c r="B64" s="99"/>
      <c r="C64" s="99"/>
      <c r="D64" s="11"/>
      <c r="E64" s="54">
        <f>E36+E56+E63</f>
        <v>7076083.2999999989</v>
      </c>
      <c r="F64" s="51">
        <f>F36+F56+F63</f>
        <v>3240532.32</v>
      </c>
      <c r="G64" s="54">
        <f>G36+G56+G63</f>
        <v>4535647.68</v>
      </c>
      <c r="H64" s="390">
        <f>H36+H56+H63</f>
        <v>7776180</v>
      </c>
      <c r="I64" s="66">
        <f>I36+I56+I63</f>
        <v>8169000</v>
      </c>
    </row>
    <row r="65" spans="1:9" ht="9" customHeight="1" x14ac:dyDescent="0.2">
      <c r="A65" s="8"/>
      <c r="B65" s="8"/>
      <c r="C65" s="8"/>
      <c r="D65" s="25"/>
      <c r="E65" s="25"/>
      <c r="F65" s="25"/>
      <c r="G65" s="25"/>
      <c r="H65" s="25"/>
      <c r="I65" s="42"/>
    </row>
    <row r="66" spans="1:9" ht="11.25" customHeight="1" x14ac:dyDescent="0.2">
      <c r="A66" s="22" t="s">
        <v>225</v>
      </c>
      <c r="B66" s="22"/>
      <c r="C66" s="22"/>
      <c r="D66" s="22" t="s">
        <v>172</v>
      </c>
      <c r="E66" s="22"/>
      <c r="F66" s="15"/>
      <c r="G66" s="527" t="s">
        <v>16</v>
      </c>
      <c r="H66" s="527"/>
      <c r="I66" s="8"/>
    </row>
    <row r="67" spans="1:9" ht="7.5" customHeight="1" x14ac:dyDescent="0.2">
      <c r="A67" s="8"/>
      <c r="B67" s="8"/>
      <c r="C67" s="8"/>
      <c r="D67" s="15"/>
      <c r="E67" s="15"/>
      <c r="F67" s="15"/>
      <c r="G67" s="15"/>
      <c r="H67" s="15"/>
      <c r="I67" s="15"/>
    </row>
    <row r="68" spans="1:9" ht="25.15" customHeight="1" x14ac:dyDescent="0.2">
      <c r="A68" s="4"/>
      <c r="B68" s="4"/>
      <c r="C68" s="4"/>
      <c r="D68" s="23"/>
      <c r="E68" s="23"/>
      <c r="F68" s="23"/>
      <c r="G68" s="23"/>
      <c r="H68" s="4"/>
      <c r="I68" s="8"/>
    </row>
    <row r="69" spans="1:9" x14ac:dyDescent="0.2">
      <c r="A69" s="4" t="s">
        <v>175</v>
      </c>
      <c r="B69" s="4"/>
      <c r="C69" s="4"/>
      <c r="D69" s="528" t="s">
        <v>259</v>
      </c>
      <c r="E69" s="528"/>
      <c r="F69" s="528"/>
      <c r="G69" s="23"/>
      <c r="H69" s="529" t="s">
        <v>271</v>
      </c>
      <c r="I69" s="529"/>
    </row>
    <row r="70" spans="1:9" x14ac:dyDescent="0.2">
      <c r="A70" s="8" t="s">
        <v>226</v>
      </c>
      <c r="B70" s="8"/>
      <c r="C70" s="8"/>
      <c r="D70" s="518" t="s">
        <v>270</v>
      </c>
      <c r="E70" s="518"/>
      <c r="F70" s="518"/>
      <c r="G70" s="15"/>
      <c r="H70" s="519" t="s">
        <v>51</v>
      </c>
      <c r="I70" s="519"/>
    </row>
    <row r="71" spans="1:9" x14ac:dyDescent="0.2">
      <c r="A71" s="441"/>
      <c r="B71" s="441"/>
      <c r="C71" s="441"/>
      <c r="D71" s="113"/>
      <c r="E71" s="113"/>
      <c r="F71" s="113"/>
      <c r="G71" s="30"/>
      <c r="H71" s="31"/>
      <c r="I71" s="31"/>
    </row>
  </sheetData>
  <mergeCells count="9">
    <mergeCell ref="A5:G5"/>
    <mergeCell ref="D70:F70"/>
    <mergeCell ref="H70:I70"/>
    <mergeCell ref="A10:C12"/>
    <mergeCell ref="F10:H10"/>
    <mergeCell ref="H11:H12"/>
    <mergeCell ref="G66:H66"/>
    <mergeCell ref="D69:F69"/>
    <mergeCell ref="H69:I69"/>
  </mergeCells>
  <pageMargins left="0.19685039370078741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K72"/>
  <sheetViews>
    <sheetView showWhiteSpace="0" view="pageBreakPreview" zoomScale="118" zoomScaleNormal="100" zoomScaleSheetLayoutView="118" zoomScalePageLayoutView="130" workbookViewId="0">
      <selection activeCell="E18" sqref="E17:E18"/>
    </sheetView>
  </sheetViews>
  <sheetFormatPr defaultColWidth="9.28515625" defaultRowHeight="12.75" x14ac:dyDescent="0.2"/>
  <cols>
    <col min="1" max="1" width="18" style="15" customWidth="1"/>
    <col min="2" max="2" width="2.7109375" style="15" customWidth="1"/>
    <col min="3" max="3" width="30.140625" style="15" customWidth="1"/>
    <col min="4" max="4" width="9.140625" style="28" customWidth="1"/>
    <col min="5" max="5" width="16.140625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0" t="s">
        <v>344</v>
      </c>
      <c r="B1" s="471"/>
      <c r="C1" s="471"/>
      <c r="D1" s="471"/>
      <c r="E1" s="471"/>
      <c r="F1" s="471"/>
      <c r="G1" s="471"/>
    </row>
    <row r="2" spans="1:11" x14ac:dyDescent="0.2">
      <c r="A2" s="470" t="s">
        <v>345</v>
      </c>
      <c r="B2" s="472"/>
      <c r="C2" s="472"/>
      <c r="D2" s="472"/>
      <c r="E2" s="472"/>
      <c r="F2" s="472"/>
      <c r="G2" s="472"/>
    </row>
    <row r="3" spans="1:11" x14ac:dyDescent="0.2">
      <c r="A3" s="473" t="s">
        <v>346</v>
      </c>
      <c r="B3" s="472"/>
      <c r="C3" s="472"/>
      <c r="D3" s="472"/>
      <c r="E3" s="472"/>
      <c r="F3" s="472"/>
      <c r="G3" s="472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17" t="s">
        <v>347</v>
      </c>
      <c r="B5" s="517"/>
      <c r="C5" s="517"/>
      <c r="D5" s="517"/>
      <c r="E5" s="517"/>
      <c r="F5" s="517"/>
      <c r="G5" s="517"/>
    </row>
    <row r="6" spans="1:11" x14ac:dyDescent="0.2">
      <c r="A6" s="502"/>
      <c r="B6" s="502"/>
      <c r="C6" s="502"/>
      <c r="D6" s="502"/>
      <c r="E6" s="502"/>
      <c r="F6" s="502"/>
      <c r="G6" s="502"/>
    </row>
    <row r="7" spans="1:11" x14ac:dyDescent="0.2">
      <c r="A7" s="503" t="s">
        <v>348</v>
      </c>
      <c r="B7" s="504" t="s">
        <v>349</v>
      </c>
      <c r="C7" s="505"/>
      <c r="D7" s="503" t="s">
        <v>350</v>
      </c>
      <c r="E7" s="504">
        <v>2024</v>
      </c>
      <c r="F7" s="505"/>
      <c r="G7" s="505"/>
    </row>
    <row r="8" spans="1:11" ht="10.5" customHeight="1" x14ac:dyDescent="0.2">
      <c r="A8" s="506" t="s">
        <v>351</v>
      </c>
      <c r="B8" s="507" t="s">
        <v>352</v>
      </c>
      <c r="C8" s="508"/>
      <c r="D8" s="506" t="s">
        <v>353</v>
      </c>
      <c r="E8" s="489" t="s">
        <v>361</v>
      </c>
      <c r="F8" s="508"/>
      <c r="G8" s="508"/>
      <c r="H8" s="509"/>
      <c r="I8" s="459"/>
    </row>
    <row r="9" spans="1:11" ht="13.5" thickBot="1" x14ac:dyDescent="0.25">
      <c r="A9" s="506" t="s">
        <v>354</v>
      </c>
      <c r="B9" s="507" t="s">
        <v>355</v>
      </c>
      <c r="C9" s="508"/>
      <c r="D9" s="508"/>
      <c r="E9" s="508"/>
      <c r="F9" s="508"/>
      <c r="G9" s="508"/>
      <c r="H9" s="8"/>
      <c r="I9" s="8"/>
    </row>
    <row r="10" spans="1:11" ht="13.5" thickBot="1" x14ac:dyDescent="0.25">
      <c r="A10" s="520" t="s">
        <v>27</v>
      </c>
      <c r="B10" s="532"/>
      <c r="C10" s="532"/>
      <c r="D10" s="448" t="s">
        <v>15</v>
      </c>
      <c r="E10" s="443" t="s">
        <v>1</v>
      </c>
      <c r="F10" s="522" t="s">
        <v>329</v>
      </c>
      <c r="G10" s="523"/>
      <c r="H10" s="524"/>
      <c r="I10" s="444" t="s">
        <v>3</v>
      </c>
    </row>
    <row r="11" spans="1:11" x14ac:dyDescent="0.2">
      <c r="A11" s="521"/>
      <c r="B11" s="534"/>
      <c r="C11" s="534"/>
      <c r="D11" s="449" t="s">
        <v>0</v>
      </c>
      <c r="E11" s="446">
        <v>2022</v>
      </c>
      <c r="F11" s="156" t="s">
        <v>167</v>
      </c>
      <c r="G11" s="245" t="s">
        <v>168</v>
      </c>
      <c r="H11" s="525" t="s">
        <v>169</v>
      </c>
      <c r="I11" s="447">
        <v>2024</v>
      </c>
    </row>
    <row r="12" spans="1:11" x14ac:dyDescent="0.2">
      <c r="A12" s="521"/>
      <c r="B12" s="534"/>
      <c r="C12" s="534"/>
      <c r="D12" s="180"/>
      <c r="E12" s="446" t="s">
        <v>2</v>
      </c>
      <c r="F12" s="449" t="s">
        <v>2</v>
      </c>
      <c r="G12" s="446" t="s">
        <v>183</v>
      </c>
      <c r="H12" s="526"/>
      <c r="I12" s="447" t="s">
        <v>33</v>
      </c>
    </row>
    <row r="13" spans="1:11" s="61" customFormat="1" ht="13.5" thickBot="1" x14ac:dyDescent="0.25">
      <c r="A13" s="451" t="s">
        <v>28</v>
      </c>
      <c r="B13" s="452"/>
      <c r="C13" s="452"/>
      <c r="D13" s="158" t="s">
        <v>29</v>
      </c>
      <c r="E13" s="452" t="s">
        <v>30</v>
      </c>
      <c r="F13" s="158" t="s">
        <v>31</v>
      </c>
      <c r="G13" s="452" t="s">
        <v>32</v>
      </c>
      <c r="H13" s="158" t="s">
        <v>170</v>
      </c>
      <c r="I13" s="453" t="s">
        <v>171</v>
      </c>
      <c r="K13" s="457"/>
    </row>
    <row r="14" spans="1:11" x14ac:dyDescent="0.2">
      <c r="A14" s="163" t="s">
        <v>4</v>
      </c>
      <c r="B14" s="4"/>
      <c r="C14" s="4"/>
      <c r="D14" s="159"/>
      <c r="E14" s="27"/>
      <c r="F14" s="159"/>
      <c r="G14" s="27"/>
      <c r="H14" s="159"/>
      <c r="I14" s="290"/>
    </row>
    <row r="15" spans="1:11" x14ac:dyDescent="0.2">
      <c r="A15" s="163" t="s">
        <v>5</v>
      </c>
      <c r="B15" s="4"/>
      <c r="C15" s="4"/>
      <c r="D15" s="159"/>
      <c r="E15" s="27"/>
      <c r="F15" s="159"/>
      <c r="G15" s="27"/>
      <c r="H15" s="159"/>
      <c r="I15" s="291"/>
    </row>
    <row r="16" spans="1:11" x14ac:dyDescent="0.2">
      <c r="A16" s="136" t="s">
        <v>46</v>
      </c>
      <c r="B16" s="85"/>
      <c r="C16" s="85"/>
      <c r="D16" s="181" t="s">
        <v>100</v>
      </c>
      <c r="E16" s="166">
        <v>2061472.43</v>
      </c>
      <c r="F16" s="161">
        <v>1026751.37</v>
      </c>
      <c r="G16" s="166">
        <f t="shared" ref="G16:G21" si="0">H16-F16</f>
        <v>1254748.6299999999</v>
      </c>
      <c r="H16" s="378">
        <f>2169500+112000</f>
        <v>2281500</v>
      </c>
      <c r="I16" s="143">
        <v>3394000</v>
      </c>
      <c r="K16" s="458">
        <v>2267205</v>
      </c>
    </row>
    <row r="17" spans="1:11" x14ac:dyDescent="0.2">
      <c r="A17" s="136" t="s">
        <v>193</v>
      </c>
      <c r="B17" s="85"/>
      <c r="C17" s="85"/>
      <c r="D17" s="181" t="s">
        <v>101</v>
      </c>
      <c r="E17" s="166">
        <v>143586.99</v>
      </c>
      <c r="F17" s="161">
        <v>65727.37</v>
      </c>
      <c r="G17" s="166">
        <f t="shared" si="0"/>
        <v>96272.63</v>
      </c>
      <c r="H17" s="378">
        <f>144000+18000</f>
        <v>162000</v>
      </c>
      <c r="I17" s="143">
        <v>240000</v>
      </c>
      <c r="K17" s="458">
        <f>42053*12</f>
        <v>504636</v>
      </c>
    </row>
    <row r="18" spans="1:11" x14ac:dyDescent="0.2">
      <c r="A18" s="136" t="s">
        <v>73</v>
      </c>
      <c r="B18" s="85"/>
      <c r="C18" s="85"/>
      <c r="D18" s="181" t="s">
        <v>120</v>
      </c>
      <c r="E18" s="166">
        <v>81000</v>
      </c>
      <c r="F18" s="161">
        <v>40500</v>
      </c>
      <c r="G18" s="166">
        <f t="shared" si="0"/>
        <v>40500</v>
      </c>
      <c r="H18" s="378">
        <v>81000</v>
      </c>
      <c r="I18" s="143">
        <v>81000</v>
      </c>
      <c r="K18" s="458">
        <f>24300*12</f>
        <v>291600</v>
      </c>
    </row>
    <row r="19" spans="1:11" x14ac:dyDescent="0.2">
      <c r="A19" s="136" t="s">
        <v>74</v>
      </c>
      <c r="B19" s="85"/>
      <c r="C19" s="85"/>
      <c r="D19" s="181" t="s">
        <v>121</v>
      </c>
      <c r="E19" s="166">
        <v>81000</v>
      </c>
      <c r="F19" s="161">
        <v>40500</v>
      </c>
      <c r="G19" s="166">
        <f t="shared" si="0"/>
        <v>40500</v>
      </c>
      <c r="H19" s="378">
        <v>81000</v>
      </c>
      <c r="I19" s="143">
        <v>81000</v>
      </c>
      <c r="K19" s="458">
        <f>24300*12</f>
        <v>291600</v>
      </c>
    </row>
    <row r="20" spans="1:11" x14ac:dyDescent="0.2">
      <c r="A20" s="136" t="s">
        <v>42</v>
      </c>
      <c r="B20" s="85"/>
      <c r="C20" s="85"/>
      <c r="D20" s="181" t="s">
        <v>102</v>
      </c>
      <c r="E20" s="166">
        <v>36000</v>
      </c>
      <c r="F20" s="161">
        <v>30000</v>
      </c>
      <c r="G20" s="166">
        <f t="shared" si="0"/>
        <v>12000</v>
      </c>
      <c r="H20" s="378">
        <f>36000+6000</f>
        <v>42000</v>
      </c>
      <c r="I20" s="143">
        <v>60000</v>
      </c>
      <c r="K20" s="458">
        <v>37311</v>
      </c>
    </row>
    <row r="21" spans="1:11" x14ac:dyDescent="0.2">
      <c r="A21" s="136" t="s">
        <v>34</v>
      </c>
      <c r="B21" s="85"/>
      <c r="C21" s="85"/>
      <c r="D21" s="181" t="s">
        <v>126</v>
      </c>
      <c r="E21" s="166">
        <v>132391.01999999999</v>
      </c>
      <c r="F21" s="161">
        <v>0</v>
      </c>
      <c r="G21" s="166">
        <f t="shared" si="0"/>
        <v>150000</v>
      </c>
      <c r="H21" s="378">
        <v>150000</v>
      </c>
      <c r="I21" s="143">
        <v>150000</v>
      </c>
      <c r="K21" s="458">
        <f>SUM(K16:K20)</f>
        <v>3392352</v>
      </c>
    </row>
    <row r="22" spans="1:11" s="61" customFormat="1" x14ac:dyDescent="0.2">
      <c r="A22" s="137" t="s">
        <v>182</v>
      </c>
      <c r="B22" s="101"/>
      <c r="C22" s="101"/>
      <c r="D22" s="288" t="s">
        <v>158</v>
      </c>
      <c r="E22" s="246">
        <v>0</v>
      </c>
      <c r="F22" s="161">
        <v>0</v>
      </c>
      <c r="G22" s="166">
        <v>0</v>
      </c>
      <c r="H22" s="415">
        <v>0</v>
      </c>
      <c r="I22" s="415">
        <v>0</v>
      </c>
      <c r="K22" s="457"/>
    </row>
    <row r="23" spans="1:11" x14ac:dyDescent="0.2">
      <c r="A23" s="136" t="s">
        <v>95</v>
      </c>
      <c r="B23" s="85"/>
      <c r="C23" s="85"/>
      <c r="D23" s="181" t="s">
        <v>104</v>
      </c>
      <c r="E23" s="166">
        <v>175544</v>
      </c>
      <c r="F23" s="161">
        <v>0</v>
      </c>
      <c r="G23" s="166">
        <f t="shared" ref="G23:G28" si="1">H23-F23</f>
        <v>193500</v>
      </c>
      <c r="H23" s="378">
        <f>181000+12500</f>
        <v>193500</v>
      </c>
      <c r="I23" s="143">
        <v>283000</v>
      </c>
    </row>
    <row r="24" spans="1:11" x14ac:dyDescent="0.2">
      <c r="A24" s="136" t="s">
        <v>150</v>
      </c>
      <c r="B24" s="85"/>
      <c r="C24" s="85"/>
      <c r="D24" s="181" t="s">
        <v>127</v>
      </c>
      <c r="E24" s="166">
        <v>173795</v>
      </c>
      <c r="F24" s="161">
        <v>167906</v>
      </c>
      <c r="G24" s="166">
        <f t="shared" si="1"/>
        <v>25594</v>
      </c>
      <c r="H24" s="378">
        <f>181000+12500</f>
        <v>193500</v>
      </c>
      <c r="I24" s="143">
        <v>283000</v>
      </c>
    </row>
    <row r="25" spans="1:11" x14ac:dyDescent="0.2">
      <c r="A25" s="136" t="s">
        <v>10</v>
      </c>
      <c r="B25" s="85"/>
      <c r="C25" s="85"/>
      <c r="D25" s="181" t="s">
        <v>103</v>
      </c>
      <c r="E25" s="166">
        <v>30000</v>
      </c>
      <c r="F25" s="161">
        <v>0</v>
      </c>
      <c r="G25" s="166">
        <f t="shared" si="1"/>
        <v>35000</v>
      </c>
      <c r="H25" s="378">
        <f>30000+5000</f>
        <v>35000</v>
      </c>
      <c r="I25" s="143">
        <v>50000</v>
      </c>
    </row>
    <row r="26" spans="1:11" x14ac:dyDescent="0.2">
      <c r="A26" s="136" t="s">
        <v>160</v>
      </c>
      <c r="B26" s="85"/>
      <c r="C26" s="85"/>
      <c r="D26" s="181" t="s">
        <v>105</v>
      </c>
      <c r="E26" s="166">
        <v>249131.04</v>
      </c>
      <c r="F26" s="161">
        <v>125649.84</v>
      </c>
      <c r="G26" s="166">
        <f t="shared" si="1"/>
        <v>148350.16</v>
      </c>
      <c r="H26" s="378">
        <f>260500+13500</f>
        <v>274000</v>
      </c>
      <c r="I26" s="143">
        <v>408000</v>
      </c>
      <c r="K26" s="458">
        <f>+I16*0.12</f>
        <v>407280</v>
      </c>
    </row>
    <row r="27" spans="1:11" x14ac:dyDescent="0.2">
      <c r="A27" s="136" t="s">
        <v>57</v>
      </c>
      <c r="B27" s="85"/>
      <c r="C27" s="85"/>
      <c r="D27" s="181" t="s">
        <v>106</v>
      </c>
      <c r="E27" s="166">
        <v>41521.94</v>
      </c>
      <c r="F27" s="161">
        <v>20963.32</v>
      </c>
      <c r="G27" s="166">
        <f t="shared" si="1"/>
        <v>24836.68</v>
      </c>
      <c r="H27" s="378">
        <f>43500+2300</f>
        <v>45800</v>
      </c>
      <c r="I27" s="143">
        <v>68000</v>
      </c>
      <c r="K27" s="458">
        <f>+I16*0.02</f>
        <v>67880</v>
      </c>
    </row>
    <row r="28" spans="1:11" x14ac:dyDescent="0.2">
      <c r="A28" s="136" t="s">
        <v>58</v>
      </c>
      <c r="B28" s="85"/>
      <c r="C28" s="85"/>
      <c r="D28" s="181" t="s">
        <v>107</v>
      </c>
      <c r="E28" s="166">
        <v>39859.49</v>
      </c>
      <c r="F28" s="161">
        <v>19842.400000000001</v>
      </c>
      <c r="G28" s="166">
        <f t="shared" si="1"/>
        <v>33657.599999999999</v>
      </c>
      <c r="H28" s="378">
        <f>49000+4500</f>
        <v>53500</v>
      </c>
      <c r="I28" s="143">
        <v>85000</v>
      </c>
      <c r="K28" s="458">
        <f>+I16*0.04</f>
        <v>135760</v>
      </c>
    </row>
    <row r="29" spans="1:11" x14ac:dyDescent="0.2">
      <c r="A29" s="136" t="s">
        <v>188</v>
      </c>
      <c r="B29" s="85"/>
      <c r="C29" s="85"/>
      <c r="D29" s="181"/>
      <c r="E29" s="166"/>
      <c r="F29" s="161"/>
      <c r="G29" s="166"/>
      <c r="H29" s="378"/>
      <c r="I29" s="143"/>
      <c r="K29" s="458">
        <f>1200*10</f>
        <v>12000</v>
      </c>
    </row>
    <row r="30" spans="1:11" x14ac:dyDescent="0.2">
      <c r="A30" s="136" t="s">
        <v>203</v>
      </c>
      <c r="B30" s="85"/>
      <c r="C30" s="85"/>
      <c r="D30" s="181" t="s">
        <v>108</v>
      </c>
      <c r="E30" s="166">
        <v>6000</v>
      </c>
      <c r="F30" s="161">
        <v>3000</v>
      </c>
      <c r="G30" s="166">
        <f t="shared" ref="G30:G36" si="2">H30-F30</f>
        <v>5100</v>
      </c>
      <c r="H30" s="378">
        <f>7200+900</f>
        <v>8100</v>
      </c>
      <c r="I30" s="143">
        <v>12000</v>
      </c>
    </row>
    <row r="31" spans="1:11" x14ac:dyDescent="0.2">
      <c r="A31" s="136" t="s">
        <v>45</v>
      </c>
      <c r="B31" s="85"/>
      <c r="C31" s="85"/>
      <c r="D31" s="181" t="s">
        <v>128</v>
      </c>
      <c r="E31" s="166">
        <v>69743.61</v>
      </c>
      <c r="F31" s="161">
        <v>49399.15</v>
      </c>
      <c r="G31" s="166">
        <f t="shared" si="2"/>
        <v>200600.85</v>
      </c>
      <c r="H31" s="378">
        <v>250000</v>
      </c>
      <c r="I31" s="143">
        <v>242000</v>
      </c>
    </row>
    <row r="32" spans="1:11" x14ac:dyDescent="0.2">
      <c r="A32" s="136" t="s">
        <v>60</v>
      </c>
      <c r="B32" s="85"/>
      <c r="C32" s="85"/>
      <c r="D32" s="181" t="s">
        <v>129</v>
      </c>
      <c r="E32" s="167">
        <v>25000</v>
      </c>
      <c r="F32" s="193">
        <v>0</v>
      </c>
      <c r="G32" s="166">
        <f t="shared" si="2"/>
        <v>35000</v>
      </c>
      <c r="H32" s="378">
        <f>30000+5000</f>
        <v>35000</v>
      </c>
      <c r="I32" s="143">
        <v>50000</v>
      </c>
    </row>
    <row r="33" spans="1:11" x14ac:dyDescent="0.2">
      <c r="A33" s="137" t="s">
        <v>72</v>
      </c>
      <c r="B33" s="101"/>
      <c r="C33" s="101"/>
      <c r="D33" s="181" t="s">
        <v>130</v>
      </c>
      <c r="E33" s="167">
        <v>5000</v>
      </c>
      <c r="F33" s="193">
        <v>0</v>
      </c>
      <c r="G33" s="166">
        <f t="shared" si="2"/>
        <v>0</v>
      </c>
      <c r="H33" s="193">
        <v>0</v>
      </c>
      <c r="I33" s="193">
        <v>0</v>
      </c>
    </row>
    <row r="34" spans="1:11" x14ac:dyDescent="0.2">
      <c r="A34" s="137" t="s">
        <v>89</v>
      </c>
      <c r="B34" s="101"/>
      <c r="C34" s="101"/>
      <c r="D34" s="181" t="s">
        <v>131</v>
      </c>
      <c r="E34" s="167">
        <v>0</v>
      </c>
      <c r="F34" s="193">
        <v>0</v>
      </c>
      <c r="G34" s="166">
        <f t="shared" si="2"/>
        <v>0</v>
      </c>
      <c r="H34" s="193">
        <v>0</v>
      </c>
      <c r="I34" s="193">
        <v>0</v>
      </c>
    </row>
    <row r="35" spans="1:11" x14ac:dyDescent="0.2">
      <c r="A35" s="137" t="s">
        <v>260</v>
      </c>
      <c r="B35" s="101"/>
      <c r="C35" s="101"/>
      <c r="D35" s="184" t="s">
        <v>261</v>
      </c>
      <c r="E35" s="169">
        <v>125000</v>
      </c>
      <c r="F35" s="200">
        <v>0</v>
      </c>
      <c r="G35" s="166">
        <f t="shared" si="2"/>
        <v>0</v>
      </c>
      <c r="H35" s="200">
        <v>0</v>
      </c>
      <c r="I35" s="200">
        <v>0</v>
      </c>
    </row>
    <row r="36" spans="1:11" s="61" customFormat="1" ht="13.5" thickBot="1" x14ac:dyDescent="0.25">
      <c r="A36" s="164" t="s">
        <v>293</v>
      </c>
      <c r="B36" s="101"/>
      <c r="C36" s="101"/>
      <c r="D36" s="289" t="s">
        <v>292</v>
      </c>
      <c r="E36" s="248">
        <v>100000</v>
      </c>
      <c r="F36" s="241">
        <v>0</v>
      </c>
      <c r="G36" s="166">
        <f t="shared" si="2"/>
        <v>0</v>
      </c>
      <c r="H36" s="241">
        <v>0</v>
      </c>
      <c r="I36" s="241">
        <v>0</v>
      </c>
      <c r="K36" s="457"/>
    </row>
    <row r="37" spans="1:11" ht="11.25" customHeight="1" thickBot="1" x14ac:dyDescent="0.25">
      <c r="A37" s="12" t="s">
        <v>75</v>
      </c>
      <c r="B37" s="98"/>
      <c r="C37" s="98"/>
      <c r="D37" s="81"/>
      <c r="E37" s="68">
        <f>SUM(E16:E36)</f>
        <v>3576045.52</v>
      </c>
      <c r="F37" s="52">
        <f>SUM(F16:F36)</f>
        <v>1590239.45</v>
      </c>
      <c r="G37" s="52">
        <f>SUM(G16:G36)</f>
        <v>2295660.5499999998</v>
      </c>
      <c r="H37" s="379">
        <f>SUM(H16:H36)</f>
        <v>3885900</v>
      </c>
      <c r="I37" s="67">
        <f>SUM(I16:I36)</f>
        <v>5487000</v>
      </c>
    </row>
    <row r="38" spans="1:11" x14ac:dyDescent="0.2">
      <c r="A38" s="163" t="s">
        <v>7</v>
      </c>
      <c r="B38" s="4"/>
      <c r="C38" s="4"/>
      <c r="D38" s="183"/>
      <c r="E38" s="171"/>
      <c r="F38" s="162"/>
      <c r="G38" s="425"/>
      <c r="H38" s="426"/>
      <c r="I38" s="146"/>
    </row>
    <row r="39" spans="1:11" x14ac:dyDescent="0.2">
      <c r="A39" s="137" t="s">
        <v>8</v>
      </c>
      <c r="B39" s="85"/>
      <c r="C39" s="85"/>
      <c r="D39" s="181" t="s">
        <v>109</v>
      </c>
      <c r="E39" s="166">
        <v>308481.5</v>
      </c>
      <c r="F39" s="161">
        <v>49405</v>
      </c>
      <c r="G39" s="166">
        <f t="shared" ref="G39:G46" si="3">H39-F39</f>
        <v>350595</v>
      </c>
      <c r="H39" s="381">
        <v>400000</v>
      </c>
      <c r="I39" s="188">
        <f>400000-50000</f>
        <v>350000</v>
      </c>
    </row>
    <row r="40" spans="1:11" x14ac:dyDescent="0.2">
      <c r="A40" s="137" t="s">
        <v>281</v>
      </c>
      <c r="B40" s="85"/>
      <c r="C40" s="85"/>
      <c r="D40" s="181" t="s">
        <v>110</v>
      </c>
      <c r="E40" s="166">
        <v>67700</v>
      </c>
      <c r="F40" s="161">
        <v>26000</v>
      </c>
      <c r="G40" s="166">
        <f t="shared" si="3"/>
        <v>155730</v>
      </c>
      <c r="H40" s="381">
        <v>181730</v>
      </c>
      <c r="I40" s="188">
        <v>150000</v>
      </c>
    </row>
    <row r="41" spans="1:11" x14ac:dyDescent="0.2">
      <c r="A41" s="137" t="s">
        <v>13</v>
      </c>
      <c r="B41" s="85"/>
      <c r="C41" s="85"/>
      <c r="D41" s="181" t="s">
        <v>111</v>
      </c>
      <c r="E41" s="166">
        <v>185000</v>
      </c>
      <c r="F41" s="161">
        <v>67500</v>
      </c>
      <c r="G41" s="166">
        <f t="shared" si="3"/>
        <v>183900</v>
      </c>
      <c r="H41" s="381">
        <f>135000+116400</f>
        <v>251400</v>
      </c>
      <c r="I41" s="188">
        <v>135000</v>
      </c>
    </row>
    <row r="42" spans="1:11" x14ac:dyDescent="0.2">
      <c r="A42" s="136" t="s">
        <v>163</v>
      </c>
      <c r="B42" s="85"/>
      <c r="C42" s="85"/>
      <c r="D42" s="181" t="s">
        <v>122</v>
      </c>
      <c r="E42" s="166">
        <v>79930</v>
      </c>
      <c r="F42" s="161">
        <v>89970</v>
      </c>
      <c r="G42" s="166">
        <f t="shared" si="3"/>
        <v>290030</v>
      </c>
      <c r="H42" s="381">
        <f>180000+200000</f>
        <v>380000</v>
      </c>
      <c r="I42" s="188">
        <v>180000</v>
      </c>
    </row>
    <row r="43" spans="1:11" x14ac:dyDescent="0.2">
      <c r="A43" s="136" t="s">
        <v>164</v>
      </c>
      <c r="B43" s="85"/>
      <c r="C43" s="85"/>
      <c r="D43" s="181" t="s">
        <v>112</v>
      </c>
      <c r="E43" s="166">
        <v>35000</v>
      </c>
      <c r="F43" s="161">
        <v>17500</v>
      </c>
      <c r="G43" s="166">
        <f t="shared" si="3"/>
        <v>51100</v>
      </c>
      <c r="H43" s="381">
        <f>35000+33600</f>
        <v>68600</v>
      </c>
      <c r="I43" s="188">
        <f>35000+50000</f>
        <v>85000</v>
      </c>
    </row>
    <row r="44" spans="1:11" x14ac:dyDescent="0.2">
      <c r="A44" s="136" t="s">
        <v>166</v>
      </c>
      <c r="B44" s="85"/>
      <c r="C44" s="85"/>
      <c r="D44" s="181" t="s">
        <v>114</v>
      </c>
      <c r="E44" s="166">
        <v>32321.66</v>
      </c>
      <c r="F44" s="161">
        <v>14530</v>
      </c>
      <c r="G44" s="166">
        <f t="shared" si="3"/>
        <v>33470</v>
      </c>
      <c r="H44" s="381">
        <v>48000</v>
      </c>
      <c r="I44" s="188">
        <v>48000</v>
      </c>
    </row>
    <row r="45" spans="1:11" x14ac:dyDescent="0.2">
      <c r="A45" s="136" t="s">
        <v>276</v>
      </c>
      <c r="B45" s="85"/>
      <c r="C45" s="85"/>
      <c r="D45" s="181" t="s">
        <v>139</v>
      </c>
      <c r="E45" s="166">
        <v>0</v>
      </c>
      <c r="F45" s="161">
        <v>0</v>
      </c>
      <c r="G45" s="166">
        <f t="shared" si="3"/>
        <v>446000</v>
      </c>
      <c r="H45" s="381">
        <v>446000</v>
      </c>
      <c r="I45" s="188">
        <v>0</v>
      </c>
    </row>
    <row r="46" spans="1:11" x14ac:dyDescent="0.2">
      <c r="A46" s="136" t="s">
        <v>239</v>
      </c>
      <c r="B46" s="85"/>
      <c r="C46" s="85"/>
      <c r="D46" s="181" t="s">
        <v>124</v>
      </c>
      <c r="E46" s="166">
        <v>20000</v>
      </c>
      <c r="F46" s="161">
        <v>2000</v>
      </c>
      <c r="G46" s="166">
        <f t="shared" si="3"/>
        <v>33000</v>
      </c>
      <c r="H46" s="381">
        <v>35000</v>
      </c>
      <c r="I46" s="188">
        <v>35000</v>
      </c>
    </row>
    <row r="47" spans="1:11" x14ac:dyDescent="0.2">
      <c r="A47" s="136" t="s">
        <v>205</v>
      </c>
      <c r="B47" s="85"/>
      <c r="C47" s="85"/>
      <c r="D47" s="181"/>
      <c r="E47" s="166"/>
      <c r="F47" s="161"/>
      <c r="G47" s="166"/>
      <c r="H47" s="381"/>
      <c r="I47" s="188"/>
    </row>
    <row r="48" spans="1:11" x14ac:dyDescent="0.2">
      <c r="A48" s="136" t="s">
        <v>206</v>
      </c>
      <c r="B48" s="85"/>
      <c r="C48" s="85"/>
      <c r="D48" s="181" t="s">
        <v>148</v>
      </c>
      <c r="E48" s="167">
        <v>40000</v>
      </c>
      <c r="F48" s="193">
        <v>20340</v>
      </c>
      <c r="G48" s="166">
        <f>H48-F48</f>
        <v>19660</v>
      </c>
      <c r="H48" s="382">
        <v>40000</v>
      </c>
      <c r="I48" s="149">
        <v>40000</v>
      </c>
    </row>
    <row r="49" spans="1:9" x14ac:dyDescent="0.2">
      <c r="A49" s="136" t="s">
        <v>207</v>
      </c>
      <c r="B49" s="85"/>
      <c r="C49" s="85"/>
      <c r="D49" s="181"/>
      <c r="E49" s="167"/>
      <c r="F49" s="193"/>
      <c r="G49" s="166"/>
      <c r="H49" s="382"/>
      <c r="I49" s="149"/>
    </row>
    <row r="50" spans="1:9" x14ac:dyDescent="0.2">
      <c r="A50" s="136" t="s">
        <v>208</v>
      </c>
      <c r="B50" s="85"/>
      <c r="C50" s="85"/>
      <c r="D50" s="181" t="s">
        <v>115</v>
      </c>
      <c r="E50" s="167">
        <v>0</v>
      </c>
      <c r="F50" s="193">
        <v>0</v>
      </c>
      <c r="G50" s="166">
        <f>H50-F50</f>
        <v>0</v>
      </c>
      <c r="H50" s="382">
        <v>0</v>
      </c>
      <c r="I50" s="149">
        <v>0</v>
      </c>
    </row>
    <row r="51" spans="1:9" x14ac:dyDescent="0.2">
      <c r="A51" s="136" t="s">
        <v>64</v>
      </c>
      <c r="B51" s="85"/>
      <c r="C51" s="85"/>
      <c r="D51" s="181" t="s">
        <v>137</v>
      </c>
      <c r="E51" s="167">
        <v>7600</v>
      </c>
      <c r="F51" s="193">
        <v>19800</v>
      </c>
      <c r="G51" s="166">
        <f>H51-F51</f>
        <v>279200</v>
      </c>
      <c r="H51" s="382">
        <f>95000+204000</f>
        <v>299000</v>
      </c>
      <c r="I51" s="149">
        <v>95000</v>
      </c>
    </row>
    <row r="52" spans="1:9" ht="12" customHeight="1" thickBot="1" x14ac:dyDescent="0.25">
      <c r="A52" s="136" t="s">
        <v>18</v>
      </c>
      <c r="B52" s="85"/>
      <c r="C52" s="85"/>
      <c r="D52" s="184" t="s">
        <v>116</v>
      </c>
      <c r="E52" s="169">
        <v>12800</v>
      </c>
      <c r="F52" s="200">
        <v>8600</v>
      </c>
      <c r="G52" s="166">
        <f>H52-F52</f>
        <v>41400</v>
      </c>
      <c r="H52" s="383">
        <v>50000</v>
      </c>
      <c r="I52" s="153">
        <v>50000</v>
      </c>
    </row>
    <row r="53" spans="1:9" ht="13.5" thickBot="1" x14ac:dyDescent="0.25">
      <c r="A53" s="107" t="s">
        <v>24</v>
      </c>
      <c r="B53" s="97"/>
      <c r="C53" s="97"/>
      <c r="D53" s="81"/>
      <c r="E53" s="76">
        <f>SUM(E39:E52)</f>
        <v>788833.16</v>
      </c>
      <c r="F53" s="75">
        <f>SUM(F39:F52)</f>
        <v>315645</v>
      </c>
      <c r="G53" s="76">
        <f>SUM(G39:G52)</f>
        <v>1884085</v>
      </c>
      <c r="H53" s="384">
        <f>SUM(H39:H52)</f>
        <v>2199730</v>
      </c>
      <c r="I53" s="74">
        <f>SUM(I39:I52)</f>
        <v>1168000</v>
      </c>
    </row>
    <row r="54" spans="1:9" x14ac:dyDescent="0.2">
      <c r="A54" s="163" t="s">
        <v>9</v>
      </c>
      <c r="B54" s="4"/>
      <c r="C54" s="4"/>
      <c r="D54" s="183"/>
      <c r="E54" s="297"/>
      <c r="F54" s="294"/>
      <c r="G54" s="296"/>
      <c r="H54" s="385"/>
      <c r="I54" s="292"/>
    </row>
    <row r="55" spans="1:9" x14ac:dyDescent="0.2">
      <c r="A55" s="137" t="s">
        <v>52</v>
      </c>
      <c r="B55" s="101"/>
      <c r="C55" s="101"/>
      <c r="D55" s="181" t="s">
        <v>117</v>
      </c>
      <c r="E55" s="167">
        <v>0</v>
      </c>
      <c r="F55" s="193">
        <v>0</v>
      </c>
      <c r="G55" s="166">
        <f>+H55-F55</f>
        <v>0</v>
      </c>
      <c r="H55" s="193">
        <v>0</v>
      </c>
      <c r="I55" s="149">
        <v>0</v>
      </c>
    </row>
    <row r="56" spans="1:9" x14ac:dyDescent="0.2">
      <c r="A56" s="137" t="s">
        <v>209</v>
      </c>
      <c r="B56" s="101"/>
      <c r="C56" s="101"/>
      <c r="D56" s="181"/>
      <c r="E56" s="167"/>
      <c r="F56" s="193">
        <v>0</v>
      </c>
      <c r="G56" s="166">
        <f>H56-F56</f>
        <v>0</v>
      </c>
      <c r="H56" s="382">
        <v>0</v>
      </c>
      <c r="I56" s="149">
        <v>0</v>
      </c>
    </row>
    <row r="57" spans="1:9" x14ac:dyDescent="0.2">
      <c r="A57" s="136" t="s">
        <v>210</v>
      </c>
      <c r="B57" s="85"/>
      <c r="C57" s="85"/>
      <c r="D57" s="181" t="s">
        <v>125</v>
      </c>
      <c r="E57" s="167">
        <v>100000</v>
      </c>
      <c r="F57" s="193">
        <v>0</v>
      </c>
      <c r="G57" s="166">
        <f>H57-F57</f>
        <v>0</v>
      </c>
      <c r="H57" s="382">
        <v>0</v>
      </c>
      <c r="I57" s="149">
        <v>100000</v>
      </c>
    </row>
    <row r="58" spans="1:9" x14ac:dyDescent="0.2">
      <c r="A58" s="136" t="s">
        <v>14</v>
      </c>
      <c r="B58" s="85"/>
      <c r="C58" s="85"/>
      <c r="D58" s="181" t="s">
        <v>118</v>
      </c>
      <c r="E58" s="169">
        <v>0</v>
      </c>
      <c r="F58" s="200">
        <v>0</v>
      </c>
      <c r="G58" s="166">
        <v>0</v>
      </c>
      <c r="H58" s="383">
        <v>0</v>
      </c>
      <c r="I58" s="153">
        <v>0</v>
      </c>
    </row>
    <row r="59" spans="1:9" ht="13.5" thickBot="1" x14ac:dyDescent="0.25">
      <c r="A59" s="205" t="s">
        <v>185</v>
      </c>
      <c r="B59" s="108"/>
      <c r="C59" s="108"/>
      <c r="D59" s="224" t="s">
        <v>119</v>
      </c>
      <c r="E59" s="170">
        <v>0</v>
      </c>
      <c r="F59" s="295">
        <v>0</v>
      </c>
      <c r="G59" s="166">
        <f>H59-F59</f>
        <v>0</v>
      </c>
      <c r="H59" s="386">
        <v>0</v>
      </c>
      <c r="I59" s="293">
        <v>0</v>
      </c>
    </row>
    <row r="60" spans="1:9" ht="13.5" thickBot="1" x14ac:dyDescent="0.25">
      <c r="A60" s="12" t="s">
        <v>77</v>
      </c>
      <c r="B60" s="98"/>
      <c r="C60" s="98"/>
      <c r="D60" s="80"/>
      <c r="E60" s="90">
        <f>SUM(E55:E59)</f>
        <v>100000</v>
      </c>
      <c r="F60" s="421">
        <f>SUM(F55:F59)</f>
        <v>0</v>
      </c>
      <c r="G60" s="421">
        <f>SUM(G55:G59)</f>
        <v>0</v>
      </c>
      <c r="H60" s="421">
        <f>SUM(H55:H59)</f>
        <v>0</v>
      </c>
      <c r="I60" s="74">
        <f>SUM(I56:I59)</f>
        <v>100000</v>
      </c>
    </row>
    <row r="61" spans="1:9" ht="13.5" thickBot="1" x14ac:dyDescent="0.25">
      <c r="A61" s="5" t="s">
        <v>53</v>
      </c>
      <c r="B61" s="99"/>
      <c r="C61" s="99"/>
      <c r="D61" s="10"/>
      <c r="E61" s="53">
        <f>E37+E53+E60</f>
        <v>4464878.68</v>
      </c>
      <c r="F61" s="53">
        <f>F37+F53+F60</f>
        <v>1905884.45</v>
      </c>
      <c r="G61" s="123">
        <f>G37+G53+G60</f>
        <v>4179745.55</v>
      </c>
      <c r="H61" s="387">
        <f>H37+H53+H60</f>
        <v>6085630</v>
      </c>
      <c r="I61" s="77">
        <f>I37+I53+I60</f>
        <v>6755000</v>
      </c>
    </row>
    <row r="62" spans="1:9" x14ac:dyDescent="0.2">
      <c r="A62" s="18"/>
      <c r="B62" s="18"/>
      <c r="C62" s="18"/>
      <c r="D62" s="27"/>
      <c r="E62" s="20"/>
      <c r="F62" s="20"/>
      <c r="G62" s="20"/>
      <c r="H62" s="20"/>
      <c r="I62" s="20"/>
    </row>
    <row r="63" spans="1:9" x14ac:dyDescent="0.2">
      <c r="A63" s="22" t="s">
        <v>225</v>
      </c>
      <c r="B63" s="22"/>
      <c r="C63" s="22"/>
      <c r="D63" s="22" t="s">
        <v>172</v>
      </c>
      <c r="E63" s="22"/>
      <c r="F63" s="15"/>
      <c r="G63" s="527" t="s">
        <v>16</v>
      </c>
      <c r="H63" s="527"/>
      <c r="I63" s="8"/>
    </row>
    <row r="64" spans="1:9" x14ac:dyDescent="0.2">
      <c r="A64" s="22"/>
      <c r="B64" s="22"/>
      <c r="C64" s="22"/>
      <c r="D64" s="15"/>
      <c r="E64" s="15"/>
      <c r="F64" s="15"/>
      <c r="G64" s="15"/>
      <c r="H64" s="15"/>
      <c r="I64" s="15"/>
    </row>
    <row r="65" spans="1:9" x14ac:dyDescent="0.2">
      <c r="A65" s="22"/>
      <c r="B65" s="22"/>
      <c r="C65" s="22"/>
      <c r="D65" s="15"/>
      <c r="E65" s="15"/>
      <c r="F65" s="15"/>
      <c r="G65" s="15"/>
      <c r="H65" s="15"/>
      <c r="I65" s="15"/>
    </row>
    <row r="66" spans="1:9" x14ac:dyDescent="0.2">
      <c r="A66" s="8"/>
      <c r="B66" s="8"/>
      <c r="C66" s="8"/>
      <c r="D66" s="23"/>
      <c r="E66" s="23"/>
      <c r="F66" s="23"/>
      <c r="G66" s="23"/>
      <c r="H66" s="4"/>
      <c r="I66" s="8"/>
    </row>
    <row r="67" spans="1:9" x14ac:dyDescent="0.2">
      <c r="A67" s="4" t="s">
        <v>174</v>
      </c>
      <c r="B67" s="4"/>
      <c r="C67" s="4"/>
      <c r="D67" s="528" t="s">
        <v>259</v>
      </c>
      <c r="E67" s="528"/>
      <c r="F67" s="528"/>
      <c r="G67" s="23"/>
      <c r="H67" s="529" t="s">
        <v>271</v>
      </c>
      <c r="I67" s="529"/>
    </row>
    <row r="68" spans="1:9" x14ac:dyDescent="0.2">
      <c r="A68" s="8" t="s">
        <v>173</v>
      </c>
      <c r="B68" s="8"/>
      <c r="C68" s="8"/>
      <c r="D68" s="518" t="s">
        <v>270</v>
      </c>
      <c r="E68" s="518"/>
      <c r="F68" s="518"/>
      <c r="G68" s="15"/>
      <c r="H68" s="519" t="s">
        <v>51</v>
      </c>
      <c r="I68" s="519"/>
    </row>
    <row r="69" spans="1:9" x14ac:dyDescent="0.2">
      <c r="A69" s="8"/>
      <c r="B69" s="8"/>
      <c r="C69" s="8"/>
      <c r="D69" s="113"/>
      <c r="E69" s="113"/>
      <c r="F69" s="113"/>
      <c r="G69" s="4"/>
      <c r="H69" s="8"/>
      <c r="I69" s="4"/>
    </row>
    <row r="70" spans="1:9" x14ac:dyDescent="0.2">
      <c r="A70" s="8"/>
      <c r="B70" s="8"/>
      <c r="C70" s="8"/>
      <c r="D70" s="113"/>
      <c r="E70" s="113"/>
      <c r="F70" s="113"/>
      <c r="G70" s="4"/>
      <c r="H70" s="8"/>
      <c r="I70" s="4"/>
    </row>
    <row r="71" spans="1:9" ht="1.9" customHeight="1" x14ac:dyDescent="0.2">
      <c r="A71" s="8"/>
      <c r="B71" s="8"/>
      <c r="C71" s="8"/>
      <c r="D71" s="113"/>
      <c r="E71" s="113"/>
      <c r="F71" s="113"/>
      <c r="G71" s="4"/>
      <c r="H71" s="8"/>
      <c r="I71" s="4"/>
    </row>
    <row r="72" spans="1:9" ht="1.9" customHeight="1" x14ac:dyDescent="0.2">
      <c r="A72" s="8"/>
      <c r="B72" s="8"/>
      <c r="C72" s="8"/>
      <c r="D72" s="113"/>
      <c r="E72" s="113"/>
      <c r="F72" s="113"/>
      <c r="G72" s="4"/>
      <c r="H72" s="8"/>
      <c r="I72" s="4"/>
    </row>
  </sheetData>
  <mergeCells count="9">
    <mergeCell ref="A5:G5"/>
    <mergeCell ref="D67:F67"/>
    <mergeCell ref="H67:I67"/>
    <mergeCell ref="D68:F68"/>
    <mergeCell ref="H68:I68"/>
    <mergeCell ref="A10:C12"/>
    <mergeCell ref="F10:H10"/>
    <mergeCell ref="H11:H12"/>
    <mergeCell ref="G63:H63"/>
  </mergeCells>
  <pageMargins left="0.19685039370078741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K88"/>
  <sheetViews>
    <sheetView showWhiteSpace="0" view="pageBreakPreview" topLeftCell="A46" zoomScale="118" zoomScaleNormal="100" zoomScaleSheetLayoutView="118" zoomScalePageLayoutView="130" workbookViewId="0">
      <selection activeCell="E13" sqref="E13"/>
    </sheetView>
  </sheetViews>
  <sheetFormatPr defaultColWidth="9.28515625" defaultRowHeight="12.75" x14ac:dyDescent="0.2"/>
  <cols>
    <col min="1" max="1" width="15.7109375" style="15" customWidth="1"/>
    <col min="2" max="2" width="2.7109375" style="15" customWidth="1"/>
    <col min="3" max="3" width="27.7109375" style="15" customWidth="1"/>
    <col min="4" max="4" width="14.85546875" style="28" customWidth="1"/>
    <col min="5" max="5" width="14.7109375" style="28" customWidth="1"/>
    <col min="6" max="6" width="11.85546875" style="28" customWidth="1"/>
    <col min="7" max="7" width="11.7109375" style="28" customWidth="1"/>
    <col min="8" max="8" width="12.28515625" style="28" customWidth="1"/>
    <col min="9" max="9" width="12" style="28" customWidth="1"/>
    <col min="10" max="10" width="9.28515625" style="3"/>
    <col min="11" max="11" width="12.42578125" style="458" bestFit="1" customWidth="1"/>
    <col min="12" max="16384" width="9.28515625" style="3"/>
  </cols>
  <sheetData>
    <row r="1" spans="1:11" x14ac:dyDescent="0.2">
      <c r="A1" s="478" t="s">
        <v>344</v>
      </c>
      <c r="B1" s="471"/>
      <c r="C1" s="471"/>
      <c r="D1" s="471"/>
      <c r="E1" s="471"/>
      <c r="F1" s="471"/>
      <c r="G1" s="471"/>
    </row>
    <row r="2" spans="1:11" x14ac:dyDescent="0.2">
      <c r="A2" s="478" t="s">
        <v>345</v>
      </c>
      <c r="B2" s="479"/>
      <c r="C2" s="479"/>
      <c r="D2" s="479"/>
      <c r="E2" s="479"/>
      <c r="F2" s="479"/>
      <c r="G2" s="479"/>
    </row>
    <row r="3" spans="1:11" x14ac:dyDescent="0.2">
      <c r="A3" s="480" t="s">
        <v>346</v>
      </c>
      <c r="B3" s="479"/>
      <c r="C3" s="479"/>
      <c r="D3" s="479"/>
      <c r="E3" s="479"/>
      <c r="F3" s="479"/>
      <c r="G3" s="479"/>
    </row>
    <row r="4" spans="1:11" x14ac:dyDescent="0.2">
      <c r="A4" s="474"/>
      <c r="B4" s="474"/>
      <c r="C4" s="474"/>
      <c r="D4" s="474"/>
      <c r="E4" s="474"/>
      <c r="F4" s="474"/>
      <c r="G4" s="474"/>
    </row>
    <row r="5" spans="1:11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11" ht="15" x14ac:dyDescent="0.25">
      <c r="A6" s="482"/>
      <c r="B6" s="482"/>
      <c r="C6" s="482"/>
      <c r="D6" s="482"/>
      <c r="E6" s="482"/>
      <c r="F6" s="481"/>
      <c r="G6" s="481"/>
    </row>
    <row r="7" spans="1:11" ht="15" x14ac:dyDescent="0.2">
      <c r="A7" s="483" t="s">
        <v>348</v>
      </c>
      <c r="B7" s="484" t="s">
        <v>349</v>
      </c>
      <c r="C7" s="485"/>
      <c r="D7" s="483" t="s">
        <v>350</v>
      </c>
      <c r="E7" s="484">
        <v>2024</v>
      </c>
      <c r="F7" s="511"/>
      <c r="G7" s="511"/>
    </row>
    <row r="8" spans="1:11" ht="24" customHeight="1" x14ac:dyDescent="0.2">
      <c r="A8" s="486" t="s">
        <v>351</v>
      </c>
      <c r="B8" s="487" t="s">
        <v>352</v>
      </c>
      <c r="C8" s="488"/>
      <c r="D8" s="486" t="s">
        <v>353</v>
      </c>
      <c r="E8" s="498" t="s">
        <v>362</v>
      </c>
      <c r="F8" s="477"/>
      <c r="G8" s="477"/>
    </row>
    <row r="9" spans="1:11" ht="18.75" customHeight="1" thickBot="1" x14ac:dyDescent="0.25">
      <c r="A9" s="486" t="s">
        <v>354</v>
      </c>
      <c r="B9" s="487" t="s">
        <v>355</v>
      </c>
      <c r="C9" s="488"/>
      <c r="D9" s="488"/>
      <c r="E9" s="488"/>
      <c r="F9" s="477"/>
      <c r="G9" s="477"/>
    </row>
    <row r="10" spans="1:11" ht="13.5" thickBot="1" x14ac:dyDescent="0.25">
      <c r="A10" s="520" t="s">
        <v>27</v>
      </c>
      <c r="B10" s="532"/>
      <c r="C10" s="532"/>
      <c r="D10" s="448" t="s">
        <v>15</v>
      </c>
      <c r="E10" s="443" t="s">
        <v>1</v>
      </c>
      <c r="F10" s="522" t="s">
        <v>329</v>
      </c>
      <c r="G10" s="523"/>
      <c r="H10" s="524"/>
      <c r="I10" s="444" t="s">
        <v>3</v>
      </c>
    </row>
    <row r="11" spans="1:11" x14ac:dyDescent="0.2">
      <c r="A11" s="521"/>
      <c r="B11" s="534"/>
      <c r="C11" s="534"/>
      <c r="D11" s="449" t="s">
        <v>0</v>
      </c>
      <c r="E11" s="446">
        <v>2022</v>
      </c>
      <c r="F11" s="156" t="s">
        <v>167</v>
      </c>
      <c r="G11" s="245" t="s">
        <v>168</v>
      </c>
      <c r="H11" s="525" t="s">
        <v>169</v>
      </c>
      <c r="I11" s="447">
        <v>2024</v>
      </c>
    </row>
    <row r="12" spans="1:11" x14ac:dyDescent="0.2">
      <c r="A12" s="521"/>
      <c r="B12" s="534"/>
      <c r="C12" s="534"/>
      <c r="D12" s="180"/>
      <c r="E12" s="446" t="s">
        <v>2</v>
      </c>
      <c r="F12" s="449" t="s">
        <v>2</v>
      </c>
      <c r="G12" s="446" t="s">
        <v>183</v>
      </c>
      <c r="H12" s="526"/>
      <c r="I12" s="447" t="s">
        <v>33</v>
      </c>
    </row>
    <row r="13" spans="1:11" s="61" customFormat="1" ht="13.5" thickBot="1" x14ac:dyDescent="0.25">
      <c r="A13" s="451" t="s">
        <v>28</v>
      </c>
      <c r="B13" s="452"/>
      <c r="C13" s="452"/>
      <c r="D13" s="158" t="s">
        <v>29</v>
      </c>
      <c r="E13" s="452" t="s">
        <v>30</v>
      </c>
      <c r="F13" s="158" t="s">
        <v>31</v>
      </c>
      <c r="G13" s="452" t="s">
        <v>32</v>
      </c>
      <c r="H13" s="158" t="s">
        <v>170</v>
      </c>
      <c r="I13" s="453" t="s">
        <v>171</v>
      </c>
      <c r="K13" s="457"/>
    </row>
    <row r="14" spans="1:11" x14ac:dyDescent="0.2">
      <c r="A14" s="163" t="s">
        <v>4</v>
      </c>
      <c r="B14" s="4"/>
      <c r="C14" s="4"/>
      <c r="D14" s="159"/>
      <c r="E14" s="27"/>
      <c r="F14" s="159"/>
      <c r="G14" s="27"/>
      <c r="H14" s="159"/>
      <c r="I14" s="141"/>
    </row>
    <row r="15" spans="1:11" ht="12" customHeight="1" x14ac:dyDescent="0.2">
      <c r="A15" s="163" t="s">
        <v>5</v>
      </c>
      <c r="B15" s="4"/>
      <c r="C15" s="4"/>
      <c r="D15" s="160"/>
      <c r="E15" s="39"/>
      <c r="F15" s="160"/>
      <c r="G15" s="39"/>
      <c r="H15" s="160"/>
      <c r="I15" s="142"/>
    </row>
    <row r="16" spans="1:11" x14ac:dyDescent="0.2">
      <c r="A16" s="136" t="s">
        <v>46</v>
      </c>
      <c r="B16" s="85"/>
      <c r="C16" s="85"/>
      <c r="D16" s="181" t="s">
        <v>100</v>
      </c>
      <c r="E16" s="166">
        <v>13076464.710000001</v>
      </c>
      <c r="F16" s="161">
        <v>6969953.9000000004</v>
      </c>
      <c r="G16" s="166">
        <f>+H16-F16</f>
        <v>7291646.0999999996</v>
      </c>
      <c r="H16" s="375">
        <f>14051000+210600</f>
        <v>14261600</v>
      </c>
      <c r="I16" s="438">
        <v>10862000</v>
      </c>
    </row>
    <row r="17" spans="1:11" x14ac:dyDescent="0.2">
      <c r="A17" s="136" t="s">
        <v>55</v>
      </c>
      <c r="B17" s="85"/>
      <c r="C17" s="85"/>
      <c r="D17" s="181" t="s">
        <v>101</v>
      </c>
      <c r="E17" s="166">
        <v>421409.15</v>
      </c>
      <c r="F17" s="161">
        <v>222091.35</v>
      </c>
      <c r="G17" s="166">
        <f t="shared" ref="G17:G31" si="0">+H17-F17</f>
        <v>269908.65000000002</v>
      </c>
      <c r="H17" s="376">
        <f>456000+36000</f>
        <v>492000</v>
      </c>
      <c r="I17" s="438">
        <v>264000</v>
      </c>
    </row>
    <row r="18" spans="1:11" x14ac:dyDescent="0.2">
      <c r="A18" s="136" t="s">
        <v>73</v>
      </c>
      <c r="B18" s="85"/>
      <c r="C18" s="85"/>
      <c r="D18" s="181" t="s">
        <v>120</v>
      </c>
      <c r="E18" s="166">
        <v>1030050</v>
      </c>
      <c r="F18" s="161">
        <v>531900</v>
      </c>
      <c r="G18" s="166">
        <f t="shared" si="0"/>
        <v>532100</v>
      </c>
      <c r="H18" s="376">
        <v>1064000</v>
      </c>
      <c r="I18" s="438">
        <v>891000</v>
      </c>
    </row>
    <row r="19" spans="1:11" x14ac:dyDescent="0.2">
      <c r="A19" s="136" t="s">
        <v>74</v>
      </c>
      <c r="B19" s="85"/>
      <c r="C19" s="85"/>
      <c r="D19" s="181" t="s">
        <v>121</v>
      </c>
      <c r="E19" s="166">
        <v>984150</v>
      </c>
      <c r="F19" s="161">
        <v>531900</v>
      </c>
      <c r="G19" s="166">
        <f t="shared" si="0"/>
        <v>532100</v>
      </c>
      <c r="H19" s="376">
        <v>1064000</v>
      </c>
      <c r="I19" s="438">
        <v>891000</v>
      </c>
    </row>
    <row r="20" spans="1:11" x14ac:dyDescent="0.2">
      <c r="A20" s="136" t="s">
        <v>42</v>
      </c>
      <c r="B20" s="85"/>
      <c r="C20" s="85"/>
      <c r="D20" s="181" t="s">
        <v>102</v>
      </c>
      <c r="E20" s="166">
        <v>102000</v>
      </c>
      <c r="F20" s="161">
        <v>108000</v>
      </c>
      <c r="G20" s="166">
        <f t="shared" si="0"/>
        <v>18000</v>
      </c>
      <c r="H20" s="376">
        <f>114000+12000</f>
        <v>126000</v>
      </c>
      <c r="I20" s="438">
        <v>66000</v>
      </c>
    </row>
    <row r="21" spans="1:11" s="61" customFormat="1" x14ac:dyDescent="0.2">
      <c r="A21" s="137" t="s">
        <v>182</v>
      </c>
      <c r="B21" s="101"/>
      <c r="C21" s="101"/>
      <c r="D21" s="288" t="s">
        <v>158</v>
      </c>
      <c r="E21" s="246">
        <v>0</v>
      </c>
      <c r="F21" s="239">
        <v>0</v>
      </c>
      <c r="G21" s="166">
        <f t="shared" si="0"/>
        <v>0</v>
      </c>
      <c r="H21" s="377">
        <v>0</v>
      </c>
      <c r="I21" s="438">
        <v>0</v>
      </c>
      <c r="K21" s="457"/>
    </row>
    <row r="22" spans="1:11" x14ac:dyDescent="0.2">
      <c r="A22" s="136" t="s">
        <v>95</v>
      </c>
      <c r="B22" s="85"/>
      <c r="C22" s="85"/>
      <c r="D22" s="181" t="s">
        <v>104</v>
      </c>
      <c r="E22" s="166">
        <v>1104989</v>
      </c>
      <c r="F22" s="161">
        <v>0</v>
      </c>
      <c r="G22" s="166">
        <f t="shared" si="0"/>
        <v>1194400</v>
      </c>
      <c r="H22" s="376">
        <f>1171000+23400</f>
        <v>1194400</v>
      </c>
      <c r="I22" s="438">
        <v>906000</v>
      </c>
    </row>
    <row r="23" spans="1:11" x14ac:dyDescent="0.2">
      <c r="A23" s="136" t="s">
        <v>150</v>
      </c>
      <c r="B23" s="85"/>
      <c r="C23" s="85"/>
      <c r="D23" s="181" t="s">
        <v>127</v>
      </c>
      <c r="E23" s="166">
        <v>1030332</v>
      </c>
      <c r="F23" s="161">
        <v>1141399</v>
      </c>
      <c r="G23" s="166">
        <f t="shared" si="0"/>
        <v>53001</v>
      </c>
      <c r="H23" s="376">
        <f>1171000+23400</f>
        <v>1194400</v>
      </c>
      <c r="I23" s="438">
        <v>906000</v>
      </c>
    </row>
    <row r="24" spans="1:11" x14ac:dyDescent="0.2">
      <c r="A24" s="136" t="s">
        <v>10</v>
      </c>
      <c r="B24" s="85"/>
      <c r="C24" s="85"/>
      <c r="D24" s="181" t="s">
        <v>103</v>
      </c>
      <c r="E24" s="166">
        <v>81000</v>
      </c>
      <c r="F24" s="161">
        <v>0</v>
      </c>
      <c r="G24" s="166">
        <f t="shared" si="0"/>
        <v>105000</v>
      </c>
      <c r="H24" s="376">
        <f>95000+10000</f>
        <v>105000</v>
      </c>
      <c r="I24" s="438">
        <v>55000</v>
      </c>
    </row>
    <row r="25" spans="1:11" x14ac:dyDescent="0.2">
      <c r="A25" s="136" t="s">
        <v>160</v>
      </c>
      <c r="B25" s="85"/>
      <c r="C25" s="85"/>
      <c r="D25" s="181" t="s">
        <v>105</v>
      </c>
      <c r="E25" s="166">
        <v>1585847.39</v>
      </c>
      <c r="F25" s="161">
        <v>822612.77</v>
      </c>
      <c r="G25" s="166">
        <f t="shared" si="0"/>
        <v>889287.23</v>
      </c>
      <c r="H25" s="376">
        <f>1686500+25400</f>
        <v>1711900</v>
      </c>
      <c r="I25" s="438">
        <v>1304000</v>
      </c>
    </row>
    <row r="26" spans="1:11" x14ac:dyDescent="0.2">
      <c r="A26" s="136" t="s">
        <v>57</v>
      </c>
      <c r="B26" s="85"/>
      <c r="C26" s="85"/>
      <c r="D26" s="181" t="s">
        <v>106</v>
      </c>
      <c r="E26" s="166">
        <v>260578.3</v>
      </c>
      <c r="F26" s="161">
        <v>138258.75</v>
      </c>
      <c r="G26" s="166">
        <f t="shared" si="0"/>
        <v>147641.25</v>
      </c>
      <c r="H26" s="376">
        <f>281500+4400</f>
        <v>285900</v>
      </c>
      <c r="I26" s="438">
        <v>218000</v>
      </c>
    </row>
    <row r="27" spans="1:11" x14ac:dyDescent="0.2">
      <c r="A27" s="136" t="s">
        <v>58</v>
      </c>
      <c r="B27" s="85"/>
      <c r="C27" s="85"/>
      <c r="D27" s="181" t="s">
        <v>107</v>
      </c>
      <c r="E27" s="166">
        <v>253213.77</v>
      </c>
      <c r="F27" s="161">
        <v>133629.76000000001</v>
      </c>
      <c r="G27" s="166">
        <f t="shared" si="0"/>
        <v>191470.24</v>
      </c>
      <c r="H27" s="376">
        <f>316500+8600</f>
        <v>325100</v>
      </c>
      <c r="I27" s="438">
        <v>272000</v>
      </c>
    </row>
    <row r="28" spans="1:11" x14ac:dyDescent="0.2">
      <c r="A28" s="136" t="s">
        <v>188</v>
      </c>
      <c r="B28" s="85"/>
      <c r="C28" s="85"/>
      <c r="D28" s="181"/>
      <c r="E28" s="166"/>
      <c r="F28" s="161"/>
      <c r="G28" s="166"/>
      <c r="H28" s="376"/>
      <c r="I28" s="438"/>
    </row>
    <row r="29" spans="1:11" x14ac:dyDescent="0.2">
      <c r="A29" s="136" t="s">
        <v>196</v>
      </c>
      <c r="B29" s="85"/>
      <c r="C29" s="85"/>
      <c r="D29" s="181" t="s">
        <v>108</v>
      </c>
      <c r="E29" s="166">
        <v>21672.33</v>
      </c>
      <c r="F29" s="161">
        <v>11000</v>
      </c>
      <c r="G29" s="166">
        <f t="shared" si="0"/>
        <v>13600</v>
      </c>
      <c r="H29" s="376">
        <f>22800+1800</f>
        <v>24600</v>
      </c>
      <c r="I29" s="438">
        <v>14000</v>
      </c>
    </row>
    <row r="30" spans="1:11" x14ac:dyDescent="0.2">
      <c r="A30" s="136" t="s">
        <v>45</v>
      </c>
      <c r="B30" s="85"/>
      <c r="C30" s="85"/>
      <c r="D30" s="181" t="s">
        <v>128</v>
      </c>
      <c r="E30" s="166">
        <v>1115400.72</v>
      </c>
      <c r="F30" s="161">
        <v>542248.26</v>
      </c>
      <c r="G30" s="166">
        <f t="shared" si="0"/>
        <v>657751.74</v>
      </c>
      <c r="H30" s="376">
        <v>1200000</v>
      </c>
      <c r="I30" s="438">
        <v>773000</v>
      </c>
    </row>
    <row r="31" spans="1:11" x14ac:dyDescent="0.2">
      <c r="A31" s="136" t="s">
        <v>60</v>
      </c>
      <c r="B31" s="85"/>
      <c r="C31" s="85"/>
      <c r="D31" s="181" t="s">
        <v>129</v>
      </c>
      <c r="E31" s="166">
        <v>90000</v>
      </c>
      <c r="F31" s="287">
        <v>0</v>
      </c>
      <c r="G31" s="166">
        <f t="shared" si="0"/>
        <v>105000</v>
      </c>
      <c r="H31" s="376">
        <f>95000+10000</f>
        <v>105000</v>
      </c>
      <c r="I31" s="438">
        <v>55000</v>
      </c>
    </row>
    <row r="32" spans="1:11" x14ac:dyDescent="0.2">
      <c r="A32" s="137" t="s">
        <v>72</v>
      </c>
      <c r="B32" s="101"/>
      <c r="C32" s="101"/>
      <c r="D32" s="181" t="s">
        <v>130</v>
      </c>
      <c r="E32" s="166">
        <v>5000</v>
      </c>
      <c r="F32" s="287">
        <v>0</v>
      </c>
      <c r="G32" s="166">
        <v>0</v>
      </c>
      <c r="H32" s="283">
        <v>0</v>
      </c>
      <c r="I32" s="438">
        <v>0</v>
      </c>
    </row>
    <row r="33" spans="1:11" x14ac:dyDescent="0.2">
      <c r="A33" s="137" t="s">
        <v>89</v>
      </c>
      <c r="B33" s="101"/>
      <c r="C33" s="101"/>
      <c r="D33" s="181" t="s">
        <v>131</v>
      </c>
      <c r="E33" s="166">
        <v>0</v>
      </c>
      <c r="F33" s="287">
        <v>0</v>
      </c>
      <c r="G33" s="166">
        <v>0</v>
      </c>
      <c r="H33" s="283">
        <v>0</v>
      </c>
      <c r="I33" s="438">
        <v>0</v>
      </c>
    </row>
    <row r="34" spans="1:11" x14ac:dyDescent="0.2">
      <c r="A34" s="137" t="s">
        <v>260</v>
      </c>
      <c r="B34" s="101"/>
      <c r="C34" s="101"/>
      <c r="D34" s="184" t="s">
        <v>261</v>
      </c>
      <c r="E34" s="169">
        <v>450000</v>
      </c>
      <c r="F34" s="200">
        <v>0</v>
      </c>
      <c r="G34" s="166">
        <v>0</v>
      </c>
      <c r="H34" s="284">
        <v>0</v>
      </c>
      <c r="I34" s="438">
        <v>0</v>
      </c>
    </row>
    <row r="35" spans="1:11" s="61" customFormat="1" ht="13.5" thickBot="1" x14ac:dyDescent="0.25">
      <c r="A35" s="137" t="s">
        <v>293</v>
      </c>
      <c r="B35" s="101"/>
      <c r="C35" s="101"/>
      <c r="D35" s="289" t="s">
        <v>292</v>
      </c>
      <c r="E35" s="248">
        <v>360000</v>
      </c>
      <c r="F35" s="241">
        <v>0</v>
      </c>
      <c r="G35" s="166">
        <v>0</v>
      </c>
      <c r="H35" s="265">
        <v>0</v>
      </c>
      <c r="I35" s="254">
        <v>0</v>
      </c>
      <c r="K35" s="457"/>
    </row>
    <row r="36" spans="1:11" ht="11.25" customHeight="1" thickBot="1" x14ac:dyDescent="0.25">
      <c r="A36" s="12" t="s">
        <v>6</v>
      </c>
      <c r="B36" s="98"/>
      <c r="C36" s="98"/>
      <c r="D36" s="72"/>
      <c r="E36" s="118">
        <f>SUM(E16:E35)</f>
        <v>21972107.369999997</v>
      </c>
      <c r="F36" s="118">
        <f>SUM(F16:F35)</f>
        <v>11152993.789999999</v>
      </c>
      <c r="G36" s="118">
        <f>SUM(G16:G35)</f>
        <v>12000906.210000001</v>
      </c>
      <c r="H36" s="118">
        <f>SUM(H16:H35)</f>
        <v>23153900</v>
      </c>
      <c r="I36" s="120">
        <f>SUM(I16:I35)</f>
        <v>17477000</v>
      </c>
    </row>
    <row r="37" spans="1:11" x14ac:dyDescent="0.2">
      <c r="A37" s="163" t="s">
        <v>7</v>
      </c>
      <c r="B37" s="4"/>
      <c r="C37" s="4"/>
      <c r="D37" s="183"/>
      <c r="E37" s="275"/>
      <c r="F37" s="278"/>
      <c r="G37" s="275"/>
      <c r="H37" s="162"/>
      <c r="I37" s="146"/>
    </row>
    <row r="38" spans="1:11" x14ac:dyDescent="0.2">
      <c r="A38" s="137" t="s">
        <v>8</v>
      </c>
      <c r="B38" s="85"/>
      <c r="C38" s="85"/>
      <c r="D38" s="181" t="s">
        <v>109</v>
      </c>
      <c r="E38" s="166">
        <v>1311820.6399999999</v>
      </c>
      <c r="F38" s="161">
        <v>663973</v>
      </c>
      <c r="G38" s="166">
        <f>+H38-F38</f>
        <v>536027</v>
      </c>
      <c r="H38" s="161">
        <v>1200000</v>
      </c>
      <c r="I38" s="188">
        <v>880000</v>
      </c>
    </row>
    <row r="39" spans="1:11" x14ac:dyDescent="0.2">
      <c r="A39" s="137" t="s">
        <v>281</v>
      </c>
      <c r="B39" s="85"/>
      <c r="C39" s="85"/>
      <c r="D39" s="181" t="s">
        <v>110</v>
      </c>
      <c r="E39" s="166">
        <v>1335660</v>
      </c>
      <c r="F39" s="161">
        <v>821000</v>
      </c>
      <c r="G39" s="166">
        <f t="shared" ref="G39:G54" si="1">+H39-F39</f>
        <v>879000</v>
      </c>
      <c r="H39" s="161">
        <v>1700000</v>
      </c>
      <c r="I39" s="188">
        <v>880000</v>
      </c>
    </row>
    <row r="40" spans="1:11" x14ac:dyDescent="0.2">
      <c r="A40" s="137" t="s">
        <v>13</v>
      </c>
      <c r="B40" s="85"/>
      <c r="C40" s="85"/>
      <c r="D40" s="181" t="s">
        <v>111</v>
      </c>
      <c r="E40" s="166">
        <v>199802</v>
      </c>
      <c r="F40" s="161">
        <v>99994</v>
      </c>
      <c r="G40" s="166">
        <f t="shared" si="1"/>
        <v>100006</v>
      </c>
      <c r="H40" s="161">
        <v>200000</v>
      </c>
      <c r="I40" s="188">
        <v>0</v>
      </c>
    </row>
    <row r="41" spans="1:11" x14ac:dyDescent="0.2">
      <c r="A41" s="136" t="s">
        <v>163</v>
      </c>
      <c r="B41" s="85"/>
      <c r="C41" s="85"/>
      <c r="D41" s="181" t="s">
        <v>122</v>
      </c>
      <c r="E41" s="166">
        <v>1174500</v>
      </c>
      <c r="F41" s="161">
        <v>640530</v>
      </c>
      <c r="G41" s="166">
        <f t="shared" si="1"/>
        <v>731070</v>
      </c>
      <c r="H41" s="161">
        <v>1371600</v>
      </c>
      <c r="I41" s="188">
        <v>668000</v>
      </c>
    </row>
    <row r="42" spans="1:11" x14ac:dyDescent="0.2">
      <c r="A42" s="136" t="s">
        <v>164</v>
      </c>
      <c r="B42" s="85"/>
      <c r="C42" s="85"/>
      <c r="D42" s="181" t="s">
        <v>112</v>
      </c>
      <c r="E42" s="166">
        <v>208000</v>
      </c>
      <c r="F42" s="161">
        <v>160730</v>
      </c>
      <c r="G42" s="166">
        <f t="shared" si="1"/>
        <v>264270</v>
      </c>
      <c r="H42" s="161">
        <v>425000</v>
      </c>
      <c r="I42" s="188">
        <v>0</v>
      </c>
    </row>
    <row r="43" spans="1:11" x14ac:dyDescent="0.2">
      <c r="A43" s="137" t="s">
        <v>165</v>
      </c>
      <c r="B43" s="101"/>
      <c r="C43" s="230"/>
      <c r="D43" s="288" t="s">
        <v>113</v>
      </c>
      <c r="E43" s="166">
        <v>0</v>
      </c>
      <c r="F43" s="161">
        <v>0</v>
      </c>
      <c r="G43" s="166">
        <f t="shared" si="1"/>
        <v>5000</v>
      </c>
      <c r="H43" s="161">
        <v>5000</v>
      </c>
      <c r="I43" s="188">
        <v>0</v>
      </c>
    </row>
    <row r="44" spans="1:11" x14ac:dyDescent="0.2">
      <c r="A44" s="136" t="s">
        <v>166</v>
      </c>
      <c r="B44" s="85"/>
      <c r="C44" s="85"/>
      <c r="D44" s="181" t="s">
        <v>114</v>
      </c>
      <c r="E44" s="166">
        <v>38695.760000000002</v>
      </c>
      <c r="F44" s="161">
        <v>19485</v>
      </c>
      <c r="G44" s="166">
        <f t="shared" si="1"/>
        <v>60515</v>
      </c>
      <c r="H44" s="161">
        <v>80000</v>
      </c>
      <c r="I44" s="188">
        <v>0</v>
      </c>
    </row>
    <row r="45" spans="1:11" x14ac:dyDescent="0.2">
      <c r="A45" s="136" t="s">
        <v>197</v>
      </c>
      <c r="B45" s="85"/>
      <c r="C45" s="85"/>
      <c r="D45" s="181"/>
      <c r="E45" s="166"/>
      <c r="F45" s="161"/>
      <c r="G45" s="166"/>
      <c r="H45" s="161"/>
      <c r="I45" s="188"/>
    </row>
    <row r="46" spans="1:11" x14ac:dyDescent="0.2">
      <c r="A46" s="136" t="s">
        <v>198</v>
      </c>
      <c r="B46" s="85"/>
      <c r="C46" s="85"/>
      <c r="D46" s="181" t="s">
        <v>147</v>
      </c>
      <c r="E46" s="166">
        <v>300000</v>
      </c>
      <c r="F46" s="161">
        <v>0</v>
      </c>
      <c r="G46" s="166">
        <f t="shared" si="1"/>
        <v>0</v>
      </c>
      <c r="H46" s="161">
        <v>0</v>
      </c>
      <c r="I46" s="188">
        <v>0</v>
      </c>
    </row>
    <row r="47" spans="1:11" x14ac:dyDescent="0.2">
      <c r="A47" s="136" t="s">
        <v>247</v>
      </c>
      <c r="B47" s="85"/>
      <c r="C47" s="85"/>
      <c r="D47" s="181" t="s">
        <v>124</v>
      </c>
      <c r="E47" s="167">
        <v>0</v>
      </c>
      <c r="F47" s="193">
        <v>0</v>
      </c>
      <c r="G47" s="166">
        <f t="shared" si="1"/>
        <v>50000</v>
      </c>
      <c r="H47" s="193">
        <v>50000</v>
      </c>
      <c r="I47" s="149">
        <v>0</v>
      </c>
    </row>
    <row r="48" spans="1:11" x14ac:dyDescent="0.2">
      <c r="A48" s="136" t="s">
        <v>204</v>
      </c>
      <c r="B48" s="85"/>
      <c r="C48" s="85"/>
      <c r="D48" s="181"/>
      <c r="E48" s="167"/>
      <c r="F48" s="193"/>
      <c r="G48" s="166"/>
      <c r="H48" s="193"/>
      <c r="I48" s="149"/>
    </row>
    <row r="49" spans="1:9" x14ac:dyDescent="0.2">
      <c r="A49" s="136" t="s">
        <v>199</v>
      </c>
      <c r="B49" s="85"/>
      <c r="C49" s="85"/>
      <c r="D49" s="181" t="s">
        <v>115</v>
      </c>
      <c r="E49" s="167">
        <v>1000</v>
      </c>
      <c r="F49" s="193">
        <v>0</v>
      </c>
      <c r="G49" s="166">
        <f t="shared" si="1"/>
        <v>50000</v>
      </c>
      <c r="H49" s="193">
        <v>50000</v>
      </c>
      <c r="I49" s="149">
        <v>0</v>
      </c>
    </row>
    <row r="50" spans="1:9" x14ac:dyDescent="0.2">
      <c r="A50" s="136" t="s">
        <v>63</v>
      </c>
      <c r="B50" s="85"/>
      <c r="C50" s="85"/>
      <c r="D50" s="181" t="s">
        <v>136</v>
      </c>
      <c r="E50" s="166">
        <v>44000</v>
      </c>
      <c r="F50" s="161">
        <v>80000</v>
      </c>
      <c r="G50" s="166">
        <f t="shared" si="1"/>
        <v>620000</v>
      </c>
      <c r="H50" s="161">
        <v>700000</v>
      </c>
      <c r="I50" s="188">
        <v>0</v>
      </c>
    </row>
    <row r="51" spans="1:9" x14ac:dyDescent="0.2">
      <c r="A51" s="136" t="s">
        <v>262</v>
      </c>
      <c r="B51" s="85"/>
      <c r="C51" s="85"/>
      <c r="D51" s="181" t="s">
        <v>187</v>
      </c>
      <c r="E51" s="166">
        <v>139060</v>
      </c>
      <c r="F51" s="161">
        <v>0</v>
      </c>
      <c r="G51" s="166">
        <f t="shared" si="1"/>
        <v>200000</v>
      </c>
      <c r="H51" s="161">
        <v>200000</v>
      </c>
      <c r="I51" s="188">
        <v>0</v>
      </c>
    </row>
    <row r="52" spans="1:9" x14ac:dyDescent="0.2">
      <c r="A52" s="136" t="s">
        <v>64</v>
      </c>
      <c r="B52" s="85"/>
      <c r="C52" s="85"/>
      <c r="D52" s="181" t="s">
        <v>137</v>
      </c>
      <c r="E52" s="166">
        <v>1084410</v>
      </c>
      <c r="F52" s="161">
        <v>368980</v>
      </c>
      <c r="G52" s="166">
        <f t="shared" si="1"/>
        <v>681020</v>
      </c>
      <c r="H52" s="161">
        <v>1050000</v>
      </c>
      <c r="I52" s="188">
        <v>0</v>
      </c>
    </row>
    <row r="53" spans="1:9" x14ac:dyDescent="0.2">
      <c r="A53" s="136" t="s">
        <v>200</v>
      </c>
      <c r="B53" s="85"/>
      <c r="C53" s="85"/>
      <c r="D53" s="181"/>
      <c r="E53" s="166"/>
      <c r="F53" s="161"/>
      <c r="G53" s="166"/>
      <c r="H53" s="161"/>
      <c r="I53" s="188"/>
    </row>
    <row r="54" spans="1:9" ht="12.6" customHeight="1" x14ac:dyDescent="0.2">
      <c r="A54" s="136" t="s">
        <v>201</v>
      </c>
      <c r="B54" s="85"/>
      <c r="C54" s="85"/>
      <c r="D54" s="181" t="s">
        <v>159</v>
      </c>
      <c r="E54" s="166">
        <v>653300</v>
      </c>
      <c r="F54" s="193">
        <v>893900</v>
      </c>
      <c r="G54" s="166">
        <f t="shared" si="1"/>
        <v>6100</v>
      </c>
      <c r="H54" s="161">
        <f>700000+200000</f>
        <v>900000</v>
      </c>
      <c r="I54" s="188">
        <v>660000</v>
      </c>
    </row>
    <row r="55" spans="1:9" ht="13.5" thickBot="1" x14ac:dyDescent="0.25">
      <c r="A55" s="136" t="s">
        <v>18</v>
      </c>
      <c r="B55" s="85"/>
      <c r="C55" s="85"/>
      <c r="D55" s="184" t="s">
        <v>116</v>
      </c>
      <c r="E55" s="174">
        <v>899231.96</v>
      </c>
      <c r="F55" s="194">
        <v>214609</v>
      </c>
      <c r="G55" s="166">
        <f>+H55-F55</f>
        <v>485391</v>
      </c>
      <c r="H55" s="200">
        <v>700000</v>
      </c>
      <c r="I55" s="153">
        <v>0</v>
      </c>
    </row>
    <row r="56" spans="1:9" ht="10.5" customHeight="1" thickBot="1" x14ac:dyDescent="0.25">
      <c r="A56" s="107" t="s">
        <v>24</v>
      </c>
      <c r="B56" s="97"/>
      <c r="C56" s="97"/>
      <c r="D56" s="72"/>
      <c r="E56" s="52">
        <f>SUM(E38:E55)</f>
        <v>7389480.3599999994</v>
      </c>
      <c r="F56" s="52">
        <f>SUM(F38:F55)</f>
        <v>3963201</v>
      </c>
      <c r="G56" s="52">
        <f>SUM(G38:G55)</f>
        <v>4668399</v>
      </c>
      <c r="H56" s="52">
        <f>SUM(H38:H55)</f>
        <v>8631600</v>
      </c>
      <c r="I56" s="52">
        <f>SUM(I38:I55)</f>
        <v>3088000</v>
      </c>
    </row>
    <row r="57" spans="1:9" x14ac:dyDescent="0.2">
      <c r="A57" s="163" t="s">
        <v>9</v>
      </c>
      <c r="B57" s="4"/>
      <c r="C57" s="4"/>
      <c r="D57" s="183"/>
      <c r="E57" s="286"/>
      <c r="F57" s="285"/>
      <c r="G57" s="286"/>
      <c r="H57" s="285"/>
      <c r="I57" s="282"/>
    </row>
    <row r="58" spans="1:9" x14ac:dyDescent="0.2">
      <c r="A58" s="137" t="s">
        <v>304</v>
      </c>
      <c r="B58" s="101"/>
      <c r="C58" s="101"/>
      <c r="D58" s="181" t="s">
        <v>117</v>
      </c>
      <c r="E58" s="167">
        <v>196500</v>
      </c>
      <c r="F58" s="193">
        <v>0</v>
      </c>
      <c r="G58" s="166">
        <f>+H58-F58</f>
        <v>0</v>
      </c>
      <c r="H58" s="193">
        <v>0</v>
      </c>
      <c r="I58" s="149">
        <v>0</v>
      </c>
    </row>
    <row r="59" spans="1:9" x14ac:dyDescent="0.2">
      <c r="A59" s="137" t="s">
        <v>202</v>
      </c>
      <c r="B59" s="101"/>
      <c r="C59" s="101"/>
      <c r="D59" s="181"/>
      <c r="E59" s="167"/>
      <c r="F59" s="193"/>
      <c r="G59" s="166"/>
      <c r="H59" s="193"/>
      <c r="I59" s="149"/>
    </row>
    <row r="60" spans="1:9" x14ac:dyDescent="0.2">
      <c r="A60" s="136" t="s">
        <v>251</v>
      </c>
      <c r="B60" s="85"/>
      <c r="C60" s="85"/>
      <c r="D60" s="181" t="s">
        <v>125</v>
      </c>
      <c r="E60" s="167"/>
      <c r="F60" s="193">
        <v>199999</v>
      </c>
      <c r="G60" s="166">
        <f>+H60-F60</f>
        <v>55001</v>
      </c>
      <c r="H60" s="193">
        <v>255000</v>
      </c>
      <c r="I60" s="149">
        <v>0</v>
      </c>
    </row>
    <row r="61" spans="1:9" x14ac:dyDescent="0.2">
      <c r="A61" s="136" t="s">
        <v>327</v>
      </c>
      <c r="B61" s="85"/>
      <c r="C61" s="85"/>
      <c r="D61" s="181" t="s">
        <v>118</v>
      </c>
      <c r="E61" s="167">
        <v>144000</v>
      </c>
      <c r="F61" s="193">
        <v>2400000</v>
      </c>
      <c r="G61" s="166">
        <f>+H61-F61</f>
        <v>0</v>
      </c>
      <c r="H61" s="193">
        <v>2400000</v>
      </c>
      <c r="I61" s="149">
        <v>0</v>
      </c>
    </row>
    <row r="62" spans="1:9" x14ac:dyDescent="0.2">
      <c r="A62" s="136" t="s">
        <v>14</v>
      </c>
      <c r="B62" s="85"/>
      <c r="C62" s="85"/>
      <c r="D62" s="181" t="s">
        <v>118</v>
      </c>
      <c r="E62" s="167">
        <v>390000</v>
      </c>
      <c r="F62" s="193">
        <v>0</v>
      </c>
      <c r="G62" s="166">
        <f>+H62-F62</f>
        <v>0</v>
      </c>
      <c r="H62" s="193">
        <v>0</v>
      </c>
      <c r="I62" s="149">
        <v>0</v>
      </c>
    </row>
    <row r="63" spans="1:9" ht="13.5" thickBot="1" x14ac:dyDescent="0.25">
      <c r="A63" s="136" t="s">
        <v>258</v>
      </c>
      <c r="B63" s="85"/>
      <c r="C63" s="85"/>
      <c r="D63" s="184" t="s">
        <v>119</v>
      </c>
      <c r="E63" s="169">
        <v>552470</v>
      </c>
      <c r="F63" s="200">
        <v>0</v>
      </c>
      <c r="G63" s="166">
        <f>+H63-F63</f>
        <v>0</v>
      </c>
      <c r="H63" s="200">
        <v>0</v>
      </c>
      <c r="I63" s="153">
        <v>0</v>
      </c>
    </row>
    <row r="64" spans="1:9" ht="13.5" customHeight="1" thickBot="1" x14ac:dyDescent="0.25">
      <c r="A64" s="12" t="s">
        <v>77</v>
      </c>
      <c r="B64" s="98"/>
      <c r="C64" s="98"/>
      <c r="D64" s="80"/>
      <c r="E64" s="75">
        <f>SUM(E58:E63)</f>
        <v>1282970</v>
      </c>
      <c r="F64" s="75">
        <f>SUM(F58:F63)</f>
        <v>2599999</v>
      </c>
      <c r="G64" s="75">
        <f>SUM(G58:G63)</f>
        <v>55001</v>
      </c>
      <c r="H64" s="75">
        <f>SUM(H58:H63)</f>
        <v>2655000</v>
      </c>
      <c r="I64" s="75">
        <f>SUM(I58:I63)</f>
        <v>0</v>
      </c>
    </row>
    <row r="65" spans="1:9" ht="15" customHeight="1" thickBot="1" x14ac:dyDescent="0.25">
      <c r="A65" s="12" t="s">
        <v>98</v>
      </c>
      <c r="B65" s="98"/>
      <c r="C65" s="98"/>
      <c r="D65" s="11"/>
      <c r="E65" s="51">
        <f>E64+E56+E36</f>
        <v>30644557.729999997</v>
      </c>
      <c r="F65" s="51">
        <f>F64+F56+F36</f>
        <v>17716193.789999999</v>
      </c>
      <c r="G65" s="51">
        <f>G64+G56+G36</f>
        <v>16724306.210000001</v>
      </c>
      <c r="H65" s="51">
        <f>H64+H56+H36</f>
        <v>34440500</v>
      </c>
      <c r="I65" s="66">
        <f>I64+I56+I36</f>
        <v>20565000</v>
      </c>
    </row>
    <row r="66" spans="1:9" ht="9" customHeight="1" x14ac:dyDescent="0.2">
      <c r="A66" s="18"/>
      <c r="B66" s="18"/>
      <c r="C66" s="18"/>
      <c r="D66" s="19"/>
      <c r="E66" s="55"/>
      <c r="F66" s="55"/>
      <c r="G66" s="55"/>
      <c r="H66" s="55"/>
      <c r="I66" s="55"/>
    </row>
    <row r="67" spans="1:9" x14ac:dyDescent="0.2">
      <c r="A67" s="22" t="s">
        <v>224</v>
      </c>
      <c r="B67" s="22"/>
      <c r="C67" s="22"/>
      <c r="D67" s="22" t="s">
        <v>172</v>
      </c>
      <c r="E67" s="22"/>
      <c r="F67" s="15"/>
      <c r="G67" s="527" t="s">
        <v>16</v>
      </c>
      <c r="H67" s="527"/>
      <c r="I67" s="8"/>
    </row>
    <row r="68" spans="1:9" ht="12.75" hidden="1" customHeight="1" x14ac:dyDescent="0.2">
      <c r="A68" s="8"/>
      <c r="B68" s="8"/>
      <c r="C68" s="8"/>
      <c r="D68" s="15"/>
      <c r="E68" s="15"/>
      <c r="F68" s="15"/>
      <c r="G68" s="15"/>
      <c r="H68" s="15"/>
      <c r="I68" s="15"/>
    </row>
    <row r="69" spans="1:9" ht="12.75" customHeight="1" x14ac:dyDescent="0.2">
      <c r="A69" s="8"/>
      <c r="B69" s="8"/>
      <c r="C69" s="8"/>
      <c r="D69" s="15"/>
      <c r="E69" s="15"/>
      <c r="F69" s="15"/>
      <c r="G69" s="15"/>
      <c r="H69" s="15"/>
      <c r="I69" s="15"/>
    </row>
    <row r="70" spans="1:9" x14ac:dyDescent="0.2">
      <c r="A70" s="8"/>
      <c r="B70" s="8"/>
      <c r="C70" s="8"/>
      <c r="D70" s="15"/>
      <c r="E70" s="15"/>
      <c r="F70" s="15"/>
      <c r="G70" s="15"/>
      <c r="H70" s="15"/>
      <c r="I70" s="15"/>
    </row>
    <row r="71" spans="1:9" x14ac:dyDescent="0.2">
      <c r="A71" s="529" t="s">
        <v>326</v>
      </c>
      <c r="B71" s="529"/>
      <c r="C71" s="529"/>
      <c r="D71" s="528" t="s">
        <v>259</v>
      </c>
      <c r="E71" s="528"/>
      <c r="F71" s="528"/>
      <c r="G71" s="23"/>
      <c r="H71" s="529" t="s">
        <v>271</v>
      </c>
      <c r="I71" s="529"/>
    </row>
    <row r="72" spans="1:9" ht="12.75" customHeight="1" x14ac:dyDescent="0.2">
      <c r="A72" s="519" t="s">
        <v>272</v>
      </c>
      <c r="B72" s="519"/>
      <c r="C72" s="519"/>
      <c r="D72" s="518" t="s">
        <v>270</v>
      </c>
      <c r="E72" s="518"/>
      <c r="F72" s="518"/>
      <c r="G72" s="15"/>
      <c r="H72" s="519" t="s">
        <v>51</v>
      </c>
      <c r="I72" s="519"/>
    </row>
    <row r="73" spans="1:9" ht="10.5" customHeight="1" x14ac:dyDescent="0.2">
      <c r="A73" s="40"/>
      <c r="B73" s="40"/>
      <c r="C73" s="40"/>
      <c r="D73" s="41"/>
      <c r="E73" s="60"/>
      <c r="F73" s="60"/>
      <c r="G73" s="60"/>
      <c r="H73" s="60"/>
      <c r="I73" s="60"/>
    </row>
    <row r="74" spans="1:9" x14ac:dyDescent="0.2">
      <c r="A74" s="8"/>
      <c r="B74" s="8"/>
      <c r="C74" s="8"/>
      <c r="D74" s="31"/>
      <c r="E74" s="34"/>
      <c r="F74" s="34"/>
      <c r="G74" s="34"/>
      <c r="H74" s="34"/>
      <c r="I74" s="34"/>
    </row>
    <row r="75" spans="1:9" x14ac:dyDescent="0.2">
      <c r="A75" s="22"/>
      <c r="B75" s="22"/>
      <c r="C75" s="22"/>
      <c r="D75" s="31"/>
      <c r="E75" s="34"/>
      <c r="F75" s="34"/>
      <c r="G75" s="34"/>
      <c r="H75" s="34"/>
      <c r="I75" s="34"/>
    </row>
    <row r="76" spans="1:9" x14ac:dyDescent="0.2">
      <c r="A76" s="8"/>
      <c r="B76" s="8"/>
      <c r="C76" s="8"/>
      <c r="D76" s="31"/>
      <c r="E76" s="34"/>
      <c r="F76" s="34"/>
      <c r="G76" s="34"/>
      <c r="H76" s="34"/>
      <c r="I76" s="34"/>
    </row>
    <row r="77" spans="1:9" x14ac:dyDescent="0.2">
      <c r="A77" s="8"/>
      <c r="B77" s="8"/>
      <c r="C77" s="8"/>
      <c r="D77" s="31"/>
      <c r="E77" s="34"/>
      <c r="F77" s="34"/>
      <c r="G77" s="34"/>
      <c r="H77" s="34"/>
      <c r="I77" s="34"/>
    </row>
    <row r="78" spans="1:9" x14ac:dyDescent="0.2">
      <c r="A78" s="8"/>
      <c r="B78" s="8"/>
      <c r="C78" s="8"/>
      <c r="D78" s="31"/>
      <c r="E78" s="34"/>
      <c r="F78" s="34"/>
      <c r="G78" s="34"/>
      <c r="H78" s="34"/>
      <c r="I78" s="34"/>
    </row>
    <row r="79" spans="1:9" x14ac:dyDescent="0.2">
      <c r="A79" s="18"/>
      <c r="B79" s="18"/>
      <c r="C79" s="18"/>
      <c r="D79" s="31"/>
      <c r="E79" s="34"/>
      <c r="F79" s="34"/>
      <c r="G79" s="34"/>
      <c r="H79" s="34"/>
      <c r="I79" s="34"/>
    </row>
    <row r="80" spans="1:9" x14ac:dyDescent="0.2">
      <c r="A80" s="18"/>
      <c r="B80" s="18"/>
      <c r="C80" s="18"/>
      <c r="D80" s="27"/>
      <c r="E80" s="38"/>
      <c r="F80" s="38"/>
      <c r="G80" s="38"/>
      <c r="H80" s="38"/>
      <c r="I80" s="38"/>
    </row>
    <row r="81" spans="1:9" x14ac:dyDescent="0.2">
      <c r="A81" s="8"/>
      <c r="B81" s="8"/>
      <c r="C81" s="8"/>
      <c r="D81" s="31"/>
      <c r="E81" s="34"/>
      <c r="F81" s="34"/>
      <c r="G81" s="34"/>
      <c r="H81" s="34"/>
      <c r="I81" s="34"/>
    </row>
    <row r="82" spans="1:9" x14ac:dyDescent="0.2">
      <c r="A82" s="22"/>
      <c r="B82" s="22"/>
      <c r="C82" s="22"/>
      <c r="D82" s="27"/>
      <c r="E82" s="27"/>
      <c r="F82" s="27"/>
      <c r="G82" s="27"/>
      <c r="H82" s="27"/>
      <c r="I82" s="27"/>
    </row>
    <row r="83" spans="1:9" x14ac:dyDescent="0.2">
      <c r="A83" s="8"/>
      <c r="B83" s="8"/>
      <c r="C83" s="8"/>
      <c r="D83" s="27"/>
      <c r="E83" s="27"/>
      <c r="F83" s="27"/>
      <c r="G83" s="27"/>
      <c r="H83" s="27"/>
      <c r="I83" s="27"/>
    </row>
    <row r="84" spans="1:9" x14ac:dyDescent="0.2">
      <c r="A84" s="4"/>
      <c r="B84" s="4"/>
      <c r="C84" s="4"/>
      <c r="D84" s="19"/>
      <c r="E84" s="19"/>
      <c r="F84" s="19"/>
      <c r="G84" s="19"/>
      <c r="H84" s="19"/>
      <c r="I84" s="27"/>
    </row>
    <row r="85" spans="1:9" x14ac:dyDescent="0.2">
      <c r="A85" s="4"/>
      <c r="B85" s="4"/>
      <c r="C85" s="4"/>
      <c r="D85" s="19"/>
      <c r="E85" s="19"/>
      <c r="F85" s="19"/>
      <c r="G85" s="19"/>
      <c r="H85" s="19"/>
      <c r="I85" s="27"/>
    </row>
    <row r="86" spans="1:9" x14ac:dyDescent="0.2">
      <c r="A86" s="8"/>
      <c r="B86" s="8"/>
      <c r="C86" s="8"/>
      <c r="D86" s="27"/>
      <c r="E86" s="19"/>
      <c r="F86" s="19"/>
      <c r="G86" s="19"/>
      <c r="H86" s="27"/>
      <c r="I86" s="19"/>
    </row>
    <row r="87" spans="1:9" x14ac:dyDescent="0.2">
      <c r="A87" s="8"/>
      <c r="B87" s="8"/>
      <c r="C87" s="8"/>
      <c r="D87" s="35"/>
      <c r="E87" s="35"/>
      <c r="F87" s="35"/>
      <c r="G87" s="35"/>
      <c r="H87" s="35"/>
      <c r="I87" s="35"/>
    </row>
    <row r="88" spans="1:9" x14ac:dyDescent="0.2">
      <c r="A88" s="8"/>
      <c r="B88" s="8"/>
      <c r="C88" s="8"/>
      <c r="D88" s="35"/>
      <c r="E88" s="35"/>
      <c r="F88" s="35"/>
      <c r="G88" s="35"/>
      <c r="H88" s="35"/>
      <c r="I88" s="35"/>
    </row>
  </sheetData>
  <mergeCells count="11">
    <mergeCell ref="G67:H67"/>
    <mergeCell ref="A5:G5"/>
    <mergeCell ref="A71:C71"/>
    <mergeCell ref="D71:F71"/>
    <mergeCell ref="H71:I71"/>
    <mergeCell ref="A72:C72"/>
    <mergeCell ref="D72:F72"/>
    <mergeCell ref="H72:I72"/>
    <mergeCell ref="A10:C12"/>
    <mergeCell ref="F10:H10"/>
    <mergeCell ref="H11:H12"/>
  </mergeCells>
  <pageMargins left="0.19685039370078741" right="0.11811023622047245" top="0.15748031496062992" bottom="0.27559055118110237" header="0" footer="0"/>
  <pageSetup paperSize="256" scale="95" orientation="portrait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G72"/>
  <sheetViews>
    <sheetView view="pageBreakPreview" topLeftCell="A4" zoomScaleNormal="100" zoomScaleSheetLayoutView="100" workbookViewId="0">
      <selection activeCell="E15" sqref="E15"/>
    </sheetView>
  </sheetViews>
  <sheetFormatPr defaultColWidth="9.28515625" defaultRowHeight="12.75" x14ac:dyDescent="0.2"/>
  <cols>
    <col min="1" max="1" width="36.7109375" style="15" customWidth="1"/>
    <col min="2" max="2" width="8.5703125" style="28" customWidth="1"/>
    <col min="3" max="3" width="24.42578125" style="28" customWidth="1"/>
    <col min="4" max="4" width="16.28515625" style="28" customWidth="1"/>
    <col min="5" max="5" width="11.28515625" style="28" customWidth="1"/>
    <col min="6" max="6" width="11" style="28" customWidth="1"/>
    <col min="7" max="7" width="11.28515625" style="28" customWidth="1"/>
    <col min="8" max="16384" width="9.28515625" style="3"/>
  </cols>
  <sheetData>
    <row r="1" spans="1:7" x14ac:dyDescent="0.2">
      <c r="A1" s="478" t="s">
        <v>344</v>
      </c>
      <c r="B1" s="471"/>
      <c r="C1" s="471"/>
      <c r="D1" s="471"/>
      <c r="E1" s="471"/>
      <c r="F1" s="471"/>
      <c r="G1" s="471"/>
    </row>
    <row r="2" spans="1:7" x14ac:dyDescent="0.2">
      <c r="A2" s="478" t="s">
        <v>345</v>
      </c>
      <c r="B2" s="479"/>
      <c r="C2" s="479"/>
      <c r="D2" s="479"/>
      <c r="E2" s="479"/>
      <c r="F2" s="479"/>
      <c r="G2" s="479"/>
    </row>
    <row r="3" spans="1:7" ht="18" customHeight="1" x14ac:dyDescent="0.2">
      <c r="A3" s="480" t="s">
        <v>346</v>
      </c>
      <c r="B3" s="479"/>
      <c r="C3" s="479"/>
      <c r="D3" s="479"/>
      <c r="E3" s="479"/>
      <c r="F3" s="479"/>
      <c r="G3" s="479"/>
    </row>
    <row r="4" spans="1:7" x14ac:dyDescent="0.2">
      <c r="A4" s="474"/>
      <c r="B4" s="474"/>
      <c r="C4" s="474"/>
      <c r="D4" s="474"/>
      <c r="E4" s="474"/>
      <c r="F4" s="474"/>
      <c r="G4" s="474"/>
    </row>
    <row r="5" spans="1:7" ht="15" x14ac:dyDescent="0.25">
      <c r="A5" s="530" t="s">
        <v>347</v>
      </c>
      <c r="B5" s="530"/>
      <c r="C5" s="530"/>
      <c r="D5" s="530"/>
      <c r="E5" s="530"/>
      <c r="F5" s="530"/>
      <c r="G5" s="530"/>
    </row>
    <row r="6" spans="1:7" ht="16.5" customHeight="1" x14ac:dyDescent="0.25">
      <c r="A6" s="481"/>
      <c r="B6" s="481"/>
      <c r="C6" s="481"/>
      <c r="D6" s="481"/>
      <c r="E6" s="481"/>
      <c r="F6" s="481"/>
      <c r="G6" s="481"/>
    </row>
    <row r="7" spans="1:7" ht="15" x14ac:dyDescent="0.2">
      <c r="A7" s="510" t="s">
        <v>348</v>
      </c>
      <c r="B7" s="499" t="s">
        <v>349</v>
      </c>
      <c r="C7" s="511"/>
      <c r="D7" s="510" t="s">
        <v>350</v>
      </c>
      <c r="E7" s="499">
        <v>2024</v>
      </c>
      <c r="F7" s="511"/>
      <c r="G7" s="511"/>
    </row>
    <row r="8" spans="1:7" ht="15" customHeight="1" x14ac:dyDescent="0.25">
      <c r="A8" s="512" t="s">
        <v>351</v>
      </c>
      <c r="B8" s="500" t="s">
        <v>352</v>
      </c>
      <c r="C8" s="477"/>
      <c r="D8" s="512"/>
      <c r="E8" s="501"/>
      <c r="F8" s="477"/>
      <c r="G8" s="477"/>
    </row>
    <row r="9" spans="1:7" ht="15" x14ac:dyDescent="0.25">
      <c r="A9" s="512" t="s">
        <v>354</v>
      </c>
      <c r="B9" s="500" t="s">
        <v>355</v>
      </c>
      <c r="C9" s="477"/>
      <c r="D9" s="477"/>
      <c r="E9" s="477"/>
      <c r="F9" s="477"/>
      <c r="G9" s="477"/>
    </row>
    <row r="10" spans="1:7" ht="16.5" thickBot="1" x14ac:dyDescent="0.25">
      <c r="A10" s="535" t="s">
        <v>93</v>
      </c>
      <c r="B10" s="535"/>
      <c r="C10" s="535"/>
      <c r="D10" s="454"/>
      <c r="E10" s="454"/>
      <c r="F10" s="456"/>
      <c r="G10" s="456"/>
    </row>
    <row r="11" spans="1:7" ht="13.5" thickBot="1" x14ac:dyDescent="0.25">
      <c r="A11" s="520" t="s">
        <v>27</v>
      </c>
      <c r="B11" s="448" t="s">
        <v>15</v>
      </c>
      <c r="C11" s="443" t="s">
        <v>1</v>
      </c>
      <c r="D11" s="522" t="s">
        <v>329</v>
      </c>
      <c r="E11" s="523"/>
      <c r="F11" s="524"/>
      <c r="G11" s="444" t="s">
        <v>3</v>
      </c>
    </row>
    <row r="12" spans="1:7" x14ac:dyDescent="0.2">
      <c r="A12" s="521"/>
      <c r="B12" s="449" t="s">
        <v>0</v>
      </c>
      <c r="C12" s="446">
        <v>2022</v>
      </c>
      <c r="D12" s="156" t="s">
        <v>167</v>
      </c>
      <c r="E12" s="245" t="s">
        <v>168</v>
      </c>
      <c r="F12" s="525" t="s">
        <v>169</v>
      </c>
      <c r="G12" s="447">
        <v>2024</v>
      </c>
    </row>
    <row r="13" spans="1:7" x14ac:dyDescent="0.2">
      <c r="A13" s="521"/>
      <c r="B13" s="180"/>
      <c r="C13" s="446" t="s">
        <v>2</v>
      </c>
      <c r="D13" s="449" t="s">
        <v>2</v>
      </c>
      <c r="E13" s="446" t="s">
        <v>183</v>
      </c>
      <c r="F13" s="526"/>
      <c r="G13" s="447" t="s">
        <v>33</v>
      </c>
    </row>
    <row r="14" spans="1:7" ht="13.5" thickBot="1" x14ac:dyDescent="0.25">
      <c r="A14" s="451" t="s">
        <v>28</v>
      </c>
      <c r="B14" s="158" t="s">
        <v>29</v>
      </c>
      <c r="C14" s="452" t="s">
        <v>30</v>
      </c>
      <c r="D14" s="158" t="s">
        <v>31</v>
      </c>
      <c r="E14" s="452" t="s">
        <v>32</v>
      </c>
      <c r="F14" s="158" t="s">
        <v>170</v>
      </c>
      <c r="G14" s="453" t="s">
        <v>171</v>
      </c>
    </row>
    <row r="15" spans="1:7" x14ac:dyDescent="0.2">
      <c r="A15" s="163" t="s">
        <v>4</v>
      </c>
      <c r="B15" s="159"/>
      <c r="C15" s="27"/>
      <c r="D15" s="159"/>
      <c r="E15" s="27"/>
      <c r="F15" s="159"/>
      <c r="G15" s="141"/>
    </row>
    <row r="16" spans="1:7" x14ac:dyDescent="0.2">
      <c r="A16" s="163" t="s">
        <v>5</v>
      </c>
      <c r="B16" s="160"/>
      <c r="C16" s="27"/>
      <c r="D16" s="159"/>
      <c r="E16" s="39"/>
      <c r="F16" s="160"/>
      <c r="G16" s="189"/>
    </row>
    <row r="17" spans="1:7" x14ac:dyDescent="0.2">
      <c r="A17" s="136" t="s">
        <v>46</v>
      </c>
      <c r="B17" s="181" t="s">
        <v>100</v>
      </c>
      <c r="C17" s="172">
        <v>1794505.59</v>
      </c>
      <c r="D17" s="197">
        <v>946594.46</v>
      </c>
      <c r="E17" s="166">
        <f t="shared" ref="E17:E37" si="0">F17-D17</f>
        <v>1100405.54</v>
      </c>
      <c r="F17" s="287">
        <v>2047000</v>
      </c>
      <c r="G17" s="308">
        <v>2067000</v>
      </c>
    </row>
    <row r="18" spans="1:7" x14ac:dyDescent="0.2">
      <c r="A18" s="136" t="s">
        <v>48</v>
      </c>
      <c r="B18" s="181" t="s">
        <v>101</v>
      </c>
      <c r="C18" s="172">
        <v>116850.48</v>
      </c>
      <c r="D18" s="197">
        <v>61454.55</v>
      </c>
      <c r="E18" s="166">
        <f t="shared" si="0"/>
        <v>82545.45</v>
      </c>
      <c r="F18" s="287">
        <v>144000</v>
      </c>
      <c r="G18" s="308">
        <v>144000</v>
      </c>
    </row>
    <row r="19" spans="1:7" x14ac:dyDescent="0.2">
      <c r="A19" s="136" t="s">
        <v>68</v>
      </c>
      <c r="B19" s="181" t="s">
        <v>120</v>
      </c>
      <c r="C19" s="172">
        <v>81000</v>
      </c>
      <c r="D19" s="197">
        <v>40500</v>
      </c>
      <c r="E19" s="166">
        <f t="shared" si="0"/>
        <v>40500</v>
      </c>
      <c r="F19" s="287">
        <v>81000</v>
      </c>
      <c r="G19" s="308">
        <v>81000</v>
      </c>
    </row>
    <row r="20" spans="1:7" x14ac:dyDescent="0.2">
      <c r="A20" s="136" t="s">
        <v>69</v>
      </c>
      <c r="B20" s="181" t="s">
        <v>121</v>
      </c>
      <c r="C20" s="172">
        <v>81000</v>
      </c>
      <c r="D20" s="197">
        <v>40500</v>
      </c>
      <c r="E20" s="166">
        <f t="shared" si="0"/>
        <v>40500</v>
      </c>
      <c r="F20" s="287">
        <v>81000</v>
      </c>
      <c r="G20" s="308">
        <v>81000</v>
      </c>
    </row>
    <row r="21" spans="1:7" x14ac:dyDescent="0.2">
      <c r="A21" s="136" t="s">
        <v>42</v>
      </c>
      <c r="B21" s="181" t="s">
        <v>102</v>
      </c>
      <c r="C21" s="172">
        <v>30000</v>
      </c>
      <c r="D21" s="197">
        <v>24000</v>
      </c>
      <c r="E21" s="166">
        <f t="shared" si="0"/>
        <v>12000</v>
      </c>
      <c r="F21" s="287">
        <v>36000</v>
      </c>
      <c r="G21" s="308">
        <v>36000</v>
      </c>
    </row>
    <row r="22" spans="1:7" x14ac:dyDescent="0.2">
      <c r="A22" s="136" t="s">
        <v>34</v>
      </c>
      <c r="B22" s="181" t="s">
        <v>126</v>
      </c>
      <c r="C22" s="173">
        <v>149857.67000000001</v>
      </c>
      <c r="D22" s="199">
        <v>0</v>
      </c>
      <c r="E22" s="166">
        <f t="shared" si="0"/>
        <v>150000</v>
      </c>
      <c r="F22" s="161">
        <v>150000</v>
      </c>
      <c r="G22" s="188">
        <v>150000</v>
      </c>
    </row>
    <row r="23" spans="1:7" x14ac:dyDescent="0.2">
      <c r="A23" s="136" t="s">
        <v>182</v>
      </c>
      <c r="B23" s="181" t="s">
        <v>158</v>
      </c>
      <c r="C23" s="168">
        <v>0</v>
      </c>
      <c r="D23" s="198">
        <v>0</v>
      </c>
      <c r="E23" s="166">
        <f t="shared" si="0"/>
        <v>0</v>
      </c>
      <c r="F23" s="198">
        <v>0</v>
      </c>
      <c r="G23" s="428">
        <v>0</v>
      </c>
    </row>
    <row r="24" spans="1:7" x14ac:dyDescent="0.2">
      <c r="A24" s="136" t="s">
        <v>95</v>
      </c>
      <c r="B24" s="181" t="s">
        <v>104</v>
      </c>
      <c r="C24" s="172">
        <f>152083-5000</f>
        <v>147083</v>
      </c>
      <c r="D24" s="197">
        <v>0</v>
      </c>
      <c r="E24" s="166">
        <f t="shared" si="0"/>
        <v>171000</v>
      </c>
      <c r="F24" s="287">
        <v>171000</v>
      </c>
      <c r="G24" s="308">
        <v>173000</v>
      </c>
    </row>
    <row r="25" spans="1:7" x14ac:dyDescent="0.2">
      <c r="A25" s="136" t="s">
        <v>150</v>
      </c>
      <c r="B25" s="181" t="s">
        <v>127</v>
      </c>
      <c r="C25" s="166">
        <f>140818+5000</f>
        <v>145818</v>
      </c>
      <c r="D25" s="161">
        <v>170547</v>
      </c>
      <c r="E25" s="166">
        <f t="shared" si="0"/>
        <v>453</v>
      </c>
      <c r="F25" s="287">
        <v>171000</v>
      </c>
      <c r="G25" s="308">
        <v>173000</v>
      </c>
    </row>
    <row r="26" spans="1:7" x14ac:dyDescent="0.2">
      <c r="A26" s="136" t="s">
        <v>10</v>
      </c>
      <c r="B26" s="181" t="s">
        <v>103</v>
      </c>
      <c r="C26" s="172">
        <v>20000</v>
      </c>
      <c r="D26" s="197">
        <v>0</v>
      </c>
      <c r="E26" s="166">
        <f t="shared" si="0"/>
        <v>30000</v>
      </c>
      <c r="F26" s="287">
        <v>30000</v>
      </c>
      <c r="G26" s="308">
        <v>30000</v>
      </c>
    </row>
    <row r="27" spans="1:7" x14ac:dyDescent="0.2">
      <c r="A27" s="136" t="s">
        <v>160</v>
      </c>
      <c r="B27" s="181" t="s">
        <v>105</v>
      </c>
      <c r="C27" s="172">
        <v>215547.37</v>
      </c>
      <c r="D27" s="197">
        <v>116389.89</v>
      </c>
      <c r="E27" s="166">
        <f t="shared" si="0"/>
        <v>129610.11</v>
      </c>
      <c r="F27" s="287">
        <v>246000</v>
      </c>
      <c r="G27" s="308">
        <v>249000</v>
      </c>
    </row>
    <row r="28" spans="1:7" x14ac:dyDescent="0.2">
      <c r="A28" s="136" t="s">
        <v>57</v>
      </c>
      <c r="B28" s="181" t="s">
        <v>106</v>
      </c>
      <c r="C28" s="172">
        <v>36023.839999999997</v>
      </c>
      <c r="D28" s="197">
        <v>19529.64</v>
      </c>
      <c r="E28" s="166">
        <f t="shared" si="0"/>
        <v>21470.36</v>
      </c>
      <c r="F28" s="287">
        <v>41000</v>
      </c>
      <c r="G28" s="308">
        <v>42000</v>
      </c>
    </row>
    <row r="29" spans="1:7" ht="11.25" customHeight="1" x14ac:dyDescent="0.2">
      <c r="A29" s="136" t="s">
        <v>58</v>
      </c>
      <c r="B29" s="181" t="s">
        <v>107</v>
      </c>
      <c r="C29" s="172">
        <v>36166.15</v>
      </c>
      <c r="D29" s="197">
        <v>19242.48</v>
      </c>
      <c r="E29" s="166">
        <f t="shared" si="0"/>
        <v>27257.52</v>
      </c>
      <c r="F29" s="287">
        <v>46500</v>
      </c>
      <c r="G29" s="308">
        <v>52000</v>
      </c>
    </row>
    <row r="30" spans="1:7" x14ac:dyDescent="0.2">
      <c r="A30" s="136" t="s">
        <v>188</v>
      </c>
      <c r="B30" s="181"/>
      <c r="C30" s="172"/>
      <c r="D30" s="197"/>
      <c r="E30" s="166"/>
      <c r="F30" s="287"/>
      <c r="G30" s="308"/>
    </row>
    <row r="31" spans="1:7" x14ac:dyDescent="0.2">
      <c r="A31" s="136" t="s">
        <v>220</v>
      </c>
      <c r="B31" s="181" t="s">
        <v>108</v>
      </c>
      <c r="C31" s="172">
        <v>5900</v>
      </c>
      <c r="D31" s="197">
        <v>3200</v>
      </c>
      <c r="E31" s="166">
        <f t="shared" si="0"/>
        <v>4000</v>
      </c>
      <c r="F31" s="287">
        <v>7200</v>
      </c>
      <c r="G31" s="308">
        <v>8000</v>
      </c>
    </row>
    <row r="32" spans="1:7" x14ac:dyDescent="0.2">
      <c r="A32" s="136" t="s">
        <v>70</v>
      </c>
      <c r="B32" s="181" t="s">
        <v>128</v>
      </c>
      <c r="C32" s="166">
        <v>74313</v>
      </c>
      <c r="D32" s="161">
        <v>47912.55</v>
      </c>
      <c r="E32" s="166">
        <f t="shared" si="0"/>
        <v>102087.45</v>
      </c>
      <c r="F32" s="287">
        <v>150000</v>
      </c>
      <c r="G32" s="308">
        <v>145000</v>
      </c>
    </row>
    <row r="33" spans="1:7" x14ac:dyDescent="0.2">
      <c r="A33" s="136" t="s">
        <v>71</v>
      </c>
      <c r="B33" s="181" t="s">
        <v>129</v>
      </c>
      <c r="C33" s="167">
        <v>20000</v>
      </c>
      <c r="D33" s="193">
        <v>0</v>
      </c>
      <c r="E33" s="166">
        <f t="shared" si="0"/>
        <v>30000</v>
      </c>
      <c r="F33" s="287">
        <v>30000</v>
      </c>
      <c r="G33" s="308">
        <v>30000</v>
      </c>
    </row>
    <row r="34" spans="1:7" x14ac:dyDescent="0.2">
      <c r="A34" s="137" t="s">
        <v>87</v>
      </c>
      <c r="B34" s="181" t="s">
        <v>130</v>
      </c>
      <c r="C34" s="173">
        <v>0</v>
      </c>
      <c r="D34" s="199">
        <v>0</v>
      </c>
      <c r="E34" s="166">
        <f t="shared" si="0"/>
        <v>0</v>
      </c>
      <c r="F34" s="199">
        <v>0</v>
      </c>
      <c r="G34" s="309">
        <v>0</v>
      </c>
    </row>
    <row r="35" spans="1:7" x14ac:dyDescent="0.2">
      <c r="A35" s="137" t="s">
        <v>89</v>
      </c>
      <c r="B35" s="181" t="s">
        <v>131</v>
      </c>
      <c r="C35" s="301">
        <v>0</v>
      </c>
      <c r="D35" s="199">
        <v>0</v>
      </c>
      <c r="E35" s="166">
        <f t="shared" si="0"/>
        <v>0</v>
      </c>
      <c r="F35" s="199">
        <v>0</v>
      </c>
      <c r="G35" s="310">
        <v>0</v>
      </c>
    </row>
    <row r="36" spans="1:7" x14ac:dyDescent="0.2">
      <c r="A36" s="137" t="s">
        <v>260</v>
      </c>
      <c r="B36" s="184" t="s">
        <v>261</v>
      </c>
      <c r="C36" s="169">
        <v>100000</v>
      </c>
      <c r="D36" s="200">
        <v>0</v>
      </c>
      <c r="E36" s="166">
        <f t="shared" si="0"/>
        <v>0</v>
      </c>
      <c r="F36" s="200">
        <v>0</v>
      </c>
      <c r="G36" s="311">
        <v>0</v>
      </c>
    </row>
    <row r="37" spans="1:7" ht="13.5" thickBot="1" x14ac:dyDescent="0.25">
      <c r="A37" s="164" t="s">
        <v>293</v>
      </c>
      <c r="B37" s="182" t="s">
        <v>292</v>
      </c>
      <c r="C37" s="170">
        <v>80000</v>
      </c>
      <c r="D37" s="295">
        <v>0</v>
      </c>
      <c r="E37" s="166">
        <f t="shared" si="0"/>
        <v>0</v>
      </c>
      <c r="F37" s="295">
        <v>0</v>
      </c>
      <c r="G37" s="429">
        <v>0</v>
      </c>
    </row>
    <row r="38" spans="1:7" ht="13.5" thickBot="1" x14ac:dyDescent="0.25">
      <c r="A38" s="12" t="s">
        <v>75</v>
      </c>
      <c r="B38" s="72"/>
      <c r="C38" s="117">
        <f>SUM(C17:C37)</f>
        <v>3134065.1</v>
      </c>
      <c r="D38" s="118">
        <f>SUM(D17:D37)</f>
        <v>1489870.5699999998</v>
      </c>
      <c r="E38" s="117">
        <f>SUM(E17:E37)</f>
        <v>1941829.4300000002</v>
      </c>
      <c r="F38" s="118">
        <f>SUM(F17:F37)</f>
        <v>3431700</v>
      </c>
      <c r="G38" s="120">
        <f>SUM(G17:G37)</f>
        <v>3461000</v>
      </c>
    </row>
    <row r="39" spans="1:7" x14ac:dyDescent="0.2">
      <c r="A39" s="163" t="s">
        <v>7</v>
      </c>
      <c r="B39" s="183"/>
      <c r="C39" s="302"/>
      <c r="D39" s="305"/>
      <c r="E39" s="302"/>
      <c r="F39" s="305"/>
      <c r="G39" s="312"/>
    </row>
    <row r="40" spans="1:7" x14ac:dyDescent="0.2">
      <c r="A40" s="137" t="s">
        <v>8</v>
      </c>
      <c r="B40" s="181" t="s">
        <v>109</v>
      </c>
      <c r="C40" s="166">
        <v>221932.42</v>
      </c>
      <c r="D40" s="161">
        <v>113260.78</v>
      </c>
      <c r="E40" s="166">
        <f>F40-D40</f>
        <v>86739.22</v>
      </c>
      <c r="F40" s="161">
        <v>200000</v>
      </c>
      <c r="G40" s="188">
        <v>300000</v>
      </c>
    </row>
    <row r="41" spans="1:7" x14ac:dyDescent="0.2">
      <c r="A41" s="137" t="s">
        <v>281</v>
      </c>
      <c r="B41" s="181" t="s">
        <v>110</v>
      </c>
      <c r="C41" s="166">
        <v>153000</v>
      </c>
      <c r="D41" s="161">
        <v>60000</v>
      </c>
      <c r="E41" s="166">
        <f t="shared" ref="E41:E53" si="1">F41-D41</f>
        <v>90000</v>
      </c>
      <c r="F41" s="161">
        <v>150000</v>
      </c>
      <c r="G41" s="188">
        <v>150000</v>
      </c>
    </row>
    <row r="42" spans="1:7" x14ac:dyDescent="0.2">
      <c r="A42" s="137" t="s">
        <v>13</v>
      </c>
      <c r="B42" s="181" t="s">
        <v>111</v>
      </c>
      <c r="C42" s="166">
        <v>142500</v>
      </c>
      <c r="D42" s="161">
        <v>75000</v>
      </c>
      <c r="E42" s="166">
        <f t="shared" si="1"/>
        <v>75000</v>
      </c>
      <c r="F42" s="161">
        <v>150000</v>
      </c>
      <c r="G42" s="188">
        <v>200000</v>
      </c>
    </row>
    <row r="43" spans="1:7" x14ac:dyDescent="0.2">
      <c r="A43" s="136" t="s">
        <v>163</v>
      </c>
      <c r="B43" s="181" t="s">
        <v>122</v>
      </c>
      <c r="C43" s="166">
        <v>19990</v>
      </c>
      <c r="D43" s="161">
        <v>9870</v>
      </c>
      <c r="E43" s="166">
        <f t="shared" si="1"/>
        <v>10130</v>
      </c>
      <c r="F43" s="161">
        <v>20000</v>
      </c>
      <c r="G43" s="188">
        <v>20000</v>
      </c>
    </row>
    <row r="44" spans="1:7" x14ac:dyDescent="0.2">
      <c r="A44" s="136" t="s">
        <v>164</v>
      </c>
      <c r="B44" s="181" t="s">
        <v>112</v>
      </c>
      <c r="C44" s="166">
        <v>70000</v>
      </c>
      <c r="D44" s="161">
        <v>60000</v>
      </c>
      <c r="E44" s="166">
        <f t="shared" si="1"/>
        <v>40000</v>
      </c>
      <c r="F44" s="161">
        <f>80000+20000</f>
        <v>100000</v>
      </c>
      <c r="G44" s="188">
        <v>80000</v>
      </c>
    </row>
    <row r="45" spans="1:7" ht="10.5" customHeight="1" x14ac:dyDescent="0.2">
      <c r="A45" s="136" t="s">
        <v>165</v>
      </c>
      <c r="B45" s="181" t="s">
        <v>113</v>
      </c>
      <c r="C45" s="166">
        <v>0</v>
      </c>
      <c r="D45" s="161">
        <v>0</v>
      </c>
      <c r="E45" s="166">
        <f t="shared" si="1"/>
        <v>0</v>
      </c>
      <c r="F45" s="161">
        <v>0</v>
      </c>
      <c r="G45" s="188">
        <v>0</v>
      </c>
    </row>
    <row r="46" spans="1:7" x14ac:dyDescent="0.2">
      <c r="A46" s="136" t="s">
        <v>166</v>
      </c>
      <c r="B46" s="181" t="s">
        <v>114</v>
      </c>
      <c r="C46" s="166">
        <v>34815</v>
      </c>
      <c r="D46" s="161">
        <v>17562.990000000002</v>
      </c>
      <c r="E46" s="166">
        <f t="shared" si="1"/>
        <v>30437.01</v>
      </c>
      <c r="F46" s="161">
        <v>48000</v>
      </c>
      <c r="G46" s="188">
        <v>48000</v>
      </c>
    </row>
    <row r="47" spans="1:7" x14ac:dyDescent="0.2">
      <c r="A47" s="136" t="s">
        <v>239</v>
      </c>
      <c r="B47" s="181" t="s">
        <v>124</v>
      </c>
      <c r="C47" s="166">
        <v>5576</v>
      </c>
      <c r="D47" s="161">
        <v>0</v>
      </c>
      <c r="E47" s="166">
        <f t="shared" si="1"/>
        <v>55000</v>
      </c>
      <c r="F47" s="161">
        <v>55000</v>
      </c>
      <c r="G47" s="188">
        <v>80000</v>
      </c>
    </row>
    <row r="48" spans="1:7" x14ac:dyDescent="0.2">
      <c r="A48" s="136" t="s">
        <v>204</v>
      </c>
      <c r="B48" s="181"/>
      <c r="C48" s="166"/>
      <c r="D48" s="306"/>
      <c r="E48" s="166"/>
      <c r="F48" s="161"/>
      <c r="G48" s="188"/>
    </row>
    <row r="49" spans="1:7" x14ac:dyDescent="0.2">
      <c r="A49" s="136" t="s">
        <v>213</v>
      </c>
      <c r="B49" s="181" t="s">
        <v>115</v>
      </c>
      <c r="C49" s="166">
        <v>12000</v>
      </c>
      <c r="D49" s="161">
        <v>7000</v>
      </c>
      <c r="E49" s="166">
        <f t="shared" si="1"/>
        <v>18000</v>
      </c>
      <c r="F49" s="161">
        <v>25000</v>
      </c>
      <c r="G49" s="188">
        <v>0</v>
      </c>
    </row>
    <row r="50" spans="1:7" x14ac:dyDescent="0.2">
      <c r="A50" s="136" t="s">
        <v>64</v>
      </c>
      <c r="B50" s="181" t="s">
        <v>137</v>
      </c>
      <c r="C50" s="166">
        <v>0</v>
      </c>
      <c r="D50" s="161">
        <v>2625</v>
      </c>
      <c r="E50" s="166">
        <f t="shared" si="1"/>
        <v>12375</v>
      </c>
      <c r="F50" s="161">
        <v>15000</v>
      </c>
      <c r="G50" s="188">
        <v>100000</v>
      </c>
    </row>
    <row r="51" spans="1:7" ht="11.25" customHeight="1" x14ac:dyDescent="0.2">
      <c r="A51" s="136" t="s">
        <v>221</v>
      </c>
      <c r="B51" s="181"/>
      <c r="C51" s="166"/>
      <c r="D51" s="161"/>
      <c r="E51" s="166"/>
      <c r="F51" s="161"/>
      <c r="G51" s="188"/>
    </row>
    <row r="52" spans="1:7" x14ac:dyDescent="0.2">
      <c r="A52" s="136" t="s">
        <v>222</v>
      </c>
      <c r="B52" s="181" t="s">
        <v>159</v>
      </c>
      <c r="C52" s="166">
        <v>8500</v>
      </c>
      <c r="D52" s="161">
        <v>15300</v>
      </c>
      <c r="E52" s="166">
        <f t="shared" si="1"/>
        <v>4700</v>
      </c>
      <c r="F52" s="161">
        <v>20000</v>
      </c>
      <c r="G52" s="188">
        <v>20000</v>
      </c>
    </row>
    <row r="53" spans="1:7" ht="13.5" thickBot="1" x14ac:dyDescent="0.25">
      <c r="A53" s="136" t="s">
        <v>18</v>
      </c>
      <c r="B53" s="184" t="s">
        <v>116</v>
      </c>
      <c r="C53" s="174">
        <v>116554</v>
      </c>
      <c r="D53" s="194">
        <v>43187.05</v>
      </c>
      <c r="E53" s="166">
        <f t="shared" si="1"/>
        <v>83812.95</v>
      </c>
      <c r="F53" s="194">
        <v>127000</v>
      </c>
      <c r="G53" s="150">
        <v>127000</v>
      </c>
    </row>
    <row r="54" spans="1:7" ht="13.5" thickBot="1" x14ac:dyDescent="0.25">
      <c r="A54" s="107" t="s">
        <v>24</v>
      </c>
      <c r="B54" s="72"/>
      <c r="C54" s="68">
        <f>SUM(C40:C53)</f>
        <v>784867.42</v>
      </c>
      <c r="D54" s="52">
        <f>SUM(D40:D53)</f>
        <v>403805.82</v>
      </c>
      <c r="E54" s="68">
        <f>SUM(E40:E53)</f>
        <v>506194.18</v>
      </c>
      <c r="F54" s="52">
        <f>SUM(F40:F53)</f>
        <v>910000</v>
      </c>
      <c r="G54" s="67">
        <f>SUM(G40:G53)</f>
        <v>1125000</v>
      </c>
    </row>
    <row r="55" spans="1:7" x14ac:dyDescent="0.2">
      <c r="A55" s="163" t="s">
        <v>9</v>
      </c>
      <c r="B55" s="183"/>
      <c r="C55" s="302"/>
      <c r="D55" s="305"/>
      <c r="E55" s="302"/>
      <c r="F55" s="305"/>
      <c r="G55" s="312"/>
    </row>
    <row r="56" spans="1:7" x14ac:dyDescent="0.2">
      <c r="A56" s="136" t="s">
        <v>209</v>
      </c>
      <c r="B56" s="181"/>
      <c r="C56" s="177"/>
      <c r="D56" s="198"/>
      <c r="E56" s="166"/>
      <c r="F56" s="198"/>
      <c r="G56" s="313"/>
    </row>
    <row r="57" spans="1:7" x14ac:dyDescent="0.2">
      <c r="A57" s="136" t="s">
        <v>212</v>
      </c>
      <c r="B57" s="181" t="s">
        <v>125</v>
      </c>
      <c r="C57" s="303">
        <v>145000</v>
      </c>
      <c r="D57" s="216">
        <v>80000</v>
      </c>
      <c r="E57" s="166">
        <f>F57-D57</f>
        <v>0</v>
      </c>
      <c r="F57" s="197">
        <v>80000</v>
      </c>
      <c r="G57" s="147">
        <v>0</v>
      </c>
    </row>
    <row r="58" spans="1:7" ht="12.75" customHeight="1" x14ac:dyDescent="0.2">
      <c r="A58" s="136" t="s">
        <v>79</v>
      </c>
      <c r="B58" s="181" t="s">
        <v>118</v>
      </c>
      <c r="C58" s="177">
        <v>0</v>
      </c>
      <c r="D58" s="198">
        <v>0</v>
      </c>
      <c r="E58" s="166">
        <f>F58-D58</f>
        <v>0</v>
      </c>
      <c r="F58" s="198">
        <v>0</v>
      </c>
      <c r="G58" s="313">
        <v>0</v>
      </c>
    </row>
    <row r="59" spans="1:7" ht="12.75" customHeight="1" thickBot="1" x14ac:dyDescent="0.25">
      <c r="A59" s="136" t="s">
        <v>258</v>
      </c>
      <c r="B59" s="184" t="s">
        <v>119</v>
      </c>
      <c r="C59" s="304">
        <v>75000</v>
      </c>
      <c r="D59" s="307">
        <v>0</v>
      </c>
      <c r="E59" s="166">
        <f>F59-D59</f>
        <v>0</v>
      </c>
      <c r="F59" s="277">
        <v>0</v>
      </c>
      <c r="G59" s="314">
        <v>0</v>
      </c>
    </row>
    <row r="60" spans="1:7" ht="12.75" customHeight="1" thickBot="1" x14ac:dyDescent="0.25">
      <c r="A60" s="12" t="s">
        <v>77</v>
      </c>
      <c r="B60" s="80"/>
      <c r="C60" s="54">
        <f>SUM(C56:C59)</f>
        <v>220000</v>
      </c>
      <c r="D60" s="51">
        <f>SUM(D56:D59)</f>
        <v>80000</v>
      </c>
      <c r="E60" s="54">
        <f>SUM(E56:E59)</f>
        <v>0</v>
      </c>
      <c r="F60" s="51">
        <f>SUM(F56:F59)</f>
        <v>80000</v>
      </c>
      <c r="G60" s="66">
        <f>SUM(G56:G59)</f>
        <v>0</v>
      </c>
    </row>
    <row r="61" spans="1:7" ht="13.5" thickBot="1" x14ac:dyDescent="0.25">
      <c r="A61" s="5" t="s">
        <v>53</v>
      </c>
      <c r="B61" s="11"/>
      <c r="C61" s="66">
        <f>C60+C54+C38</f>
        <v>4138932.52</v>
      </c>
      <c r="D61" s="51">
        <f>D60+D54+D38</f>
        <v>1973676.39</v>
      </c>
      <c r="E61" s="70">
        <f>E60+E54+E38</f>
        <v>2448023.6100000003</v>
      </c>
      <c r="F61" s="51">
        <f>F38+F54+F60</f>
        <v>4421700</v>
      </c>
      <c r="G61" s="66">
        <f>G38+G54+G60</f>
        <v>4586000</v>
      </c>
    </row>
    <row r="62" spans="1:7" x14ac:dyDescent="0.2">
      <c r="A62" s="18"/>
      <c r="B62" s="19"/>
      <c r="C62" s="20"/>
      <c r="D62" s="20"/>
      <c r="E62" s="20"/>
      <c r="F62" s="21"/>
      <c r="G62" s="21"/>
    </row>
    <row r="63" spans="1:7" x14ac:dyDescent="0.2">
      <c r="A63" s="22" t="s">
        <v>225</v>
      </c>
      <c r="B63" s="22" t="s">
        <v>172</v>
      </c>
      <c r="C63" s="22"/>
      <c r="D63" s="15"/>
      <c r="E63" s="527" t="s">
        <v>16</v>
      </c>
      <c r="F63" s="527"/>
      <c r="G63" s="8"/>
    </row>
    <row r="64" spans="1:7" x14ac:dyDescent="0.2">
      <c r="A64" s="22"/>
      <c r="B64" s="22"/>
      <c r="C64" s="22"/>
      <c r="D64" s="15"/>
      <c r="E64" s="439"/>
      <c r="F64" s="439"/>
      <c r="G64" s="8"/>
    </row>
    <row r="65" spans="1:7" x14ac:dyDescent="0.2">
      <c r="A65" s="8"/>
      <c r="B65" s="15"/>
      <c r="C65" s="15"/>
      <c r="D65" s="15"/>
      <c r="E65" s="15"/>
      <c r="F65" s="15"/>
      <c r="G65" s="15"/>
    </row>
    <row r="66" spans="1:7" x14ac:dyDescent="0.2">
      <c r="A66" s="440" t="s">
        <v>259</v>
      </c>
      <c r="B66" s="528" t="s">
        <v>259</v>
      </c>
      <c r="C66" s="528"/>
      <c r="D66" s="528"/>
      <c r="E66" s="23"/>
      <c r="F66" s="529" t="s">
        <v>271</v>
      </c>
      <c r="G66" s="529"/>
    </row>
    <row r="67" spans="1:7" x14ac:dyDescent="0.2">
      <c r="A67" s="441" t="s">
        <v>270</v>
      </c>
      <c r="B67" s="518" t="s">
        <v>270</v>
      </c>
      <c r="C67" s="518"/>
      <c r="D67" s="518"/>
      <c r="E67" s="15"/>
      <c r="F67" s="519" t="s">
        <v>51</v>
      </c>
      <c r="G67" s="519"/>
    </row>
    <row r="68" spans="1:7" x14ac:dyDescent="0.2">
      <c r="A68" s="441"/>
      <c r="B68" s="442"/>
      <c r="C68" s="442"/>
      <c r="D68" s="442"/>
      <c r="E68" s="15"/>
      <c r="F68" s="441"/>
      <c r="G68" s="441"/>
    </row>
    <row r="69" spans="1:7" x14ac:dyDescent="0.2">
      <c r="A69" s="441"/>
      <c r="B69" s="442"/>
      <c r="C69" s="442"/>
      <c r="D69" s="442"/>
      <c r="E69" s="15"/>
      <c r="F69" s="441"/>
      <c r="G69" s="441"/>
    </row>
    <row r="70" spans="1:7" x14ac:dyDescent="0.2">
      <c r="A70" s="4"/>
      <c r="B70" s="35"/>
      <c r="C70" s="35"/>
      <c r="D70" s="35"/>
      <c r="E70" s="35"/>
      <c r="F70" s="35"/>
      <c r="G70" s="35"/>
    </row>
    <row r="71" spans="1:7" x14ac:dyDescent="0.2">
      <c r="A71" s="4"/>
      <c r="B71" s="36"/>
      <c r="C71" s="36"/>
      <c r="D71" s="36"/>
      <c r="E71" s="36"/>
      <c r="F71" s="36"/>
      <c r="G71" s="36"/>
    </row>
    <row r="72" spans="1:7" x14ac:dyDescent="0.2">
      <c r="A72" s="4"/>
      <c r="B72" s="35"/>
      <c r="C72" s="35"/>
      <c r="D72" s="35"/>
      <c r="E72" s="35"/>
      <c r="F72" s="35"/>
      <c r="G72" s="35"/>
    </row>
  </sheetData>
  <mergeCells count="10">
    <mergeCell ref="F12:F13"/>
    <mergeCell ref="A5:G5"/>
    <mergeCell ref="E63:F63"/>
    <mergeCell ref="B66:D66"/>
    <mergeCell ref="F66:G66"/>
    <mergeCell ref="B67:D67"/>
    <mergeCell ref="F67:G67"/>
    <mergeCell ref="A10:C10"/>
    <mergeCell ref="A11:A13"/>
    <mergeCell ref="D11:F11"/>
  </mergeCells>
  <pageMargins left="0.23622047244094491" right="7.874015748031496E-2" top="0.15748031496062992" bottom="0.27559055118110237" header="0" footer="0"/>
  <pageSetup paperSize="256" scale="95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RHU</vt:lpstr>
      <vt:lpstr>Engrg</vt:lpstr>
      <vt:lpstr>Acctg</vt:lpstr>
      <vt:lpstr>MCR</vt:lpstr>
      <vt:lpstr>MSWDO</vt:lpstr>
      <vt:lpstr>MTO</vt:lpstr>
      <vt:lpstr>MPDC</vt:lpstr>
      <vt:lpstr>SB</vt:lpstr>
      <vt:lpstr>MBO</vt:lpstr>
      <vt:lpstr>Mayor</vt:lpstr>
      <vt:lpstr>SB Sec</vt:lpstr>
      <vt:lpstr>VM</vt:lpstr>
      <vt:lpstr>Assesor</vt:lpstr>
      <vt:lpstr>DA</vt:lpstr>
      <vt:lpstr>MGSO</vt:lpstr>
      <vt:lpstr>DRRM</vt:lpstr>
      <vt:lpstr>MSWDO!A75000</vt:lpstr>
      <vt:lpstr>A75000</vt:lpstr>
    </vt:vector>
  </TitlesOfParts>
  <Company>wpc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wpc computer hauz</dc:creator>
  <cp:lastModifiedBy>User</cp:lastModifiedBy>
  <cp:lastPrinted>2023-09-19T09:06:40Z</cp:lastPrinted>
  <dcterms:created xsi:type="dcterms:W3CDTF">2002-09-27T16:03:13Z</dcterms:created>
  <dcterms:modified xsi:type="dcterms:W3CDTF">2024-02-20T06:25:02Z</dcterms:modified>
</cp:coreProperties>
</file>